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F:\URBANISMO\UPE\UPE Girassol\2017\REFORMA COZINHA 2017\LICITAÇÃO\"/>
    </mc:Choice>
  </mc:AlternateContent>
  <bookViews>
    <workbookView xWindow="0" yWindow="0" windowWidth="24000" windowHeight="9735" tabRatio="303"/>
  </bookViews>
  <sheets>
    <sheet name="ORCA" sheetId="1" r:id="rId1"/>
    <sheet name="CFF" sheetId="2" r:id="rId2"/>
  </sheets>
  <definedNames>
    <definedName name="_xlnm.Print_Area" localSheetId="0">ORCA!$A$1:$H$340</definedName>
    <definedName name="_xlnm.Print_Titles" localSheetId="0">ORCA!$1:$9</definedName>
  </definedNames>
  <calcPr calcId="152511"/>
</workbook>
</file>

<file path=xl/calcChain.xml><?xml version="1.0" encoding="utf-8"?>
<calcChain xmlns="http://schemas.openxmlformats.org/spreadsheetml/2006/main">
  <c r="D28" i="1" l="1"/>
  <c r="D77" i="1" l="1"/>
  <c r="D75" i="1" l="1"/>
  <c r="D20" i="1" l="1"/>
  <c r="G124" i="1" l="1"/>
  <c r="D62" i="1" l="1"/>
  <c r="D172" i="1" l="1"/>
  <c r="D169" i="1"/>
  <c r="D132" i="1" l="1"/>
  <c r="D131" i="1"/>
  <c r="D133" i="1"/>
  <c r="D130" i="1"/>
  <c r="D71" i="1" l="1"/>
  <c r="D57" i="1" l="1"/>
  <c r="D58" i="1" s="1"/>
  <c r="D56" i="1"/>
  <c r="D55" i="1"/>
  <c r="D51" i="1"/>
  <c r="D46" i="1"/>
  <c r="D44" i="1"/>
  <c r="D45" i="1" s="1"/>
  <c r="D39" i="1"/>
  <c r="D37" i="1"/>
  <c r="D35" i="1"/>
  <c r="D27" i="1" l="1"/>
  <c r="D25" i="1"/>
  <c r="D26" i="1"/>
  <c r="D17" i="1" l="1"/>
  <c r="D16" i="1"/>
  <c r="D36" i="1" l="1"/>
  <c r="D81" i="1"/>
  <c r="D42" i="1" l="1"/>
  <c r="D83" i="1"/>
  <c r="L22" i="2" l="1"/>
  <c r="B21" i="2"/>
  <c r="B22" i="2"/>
  <c r="L8" i="2" l="1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B20" i="2" l="1"/>
  <c r="B19" i="2"/>
  <c r="B18" i="2"/>
  <c r="B17" i="2"/>
  <c r="B16" i="2"/>
  <c r="B15" i="2"/>
  <c r="B14" i="2"/>
  <c r="B13" i="2"/>
  <c r="B12" i="2"/>
  <c r="B11" i="2"/>
  <c r="B10" i="2"/>
  <c r="B9" i="2"/>
  <c r="B8" i="2"/>
  <c r="G2" i="1" l="1"/>
  <c r="F31" i="1" l="1"/>
  <c r="G31" i="1" s="1"/>
  <c r="F22" i="1"/>
  <c r="G22" i="1" s="1"/>
  <c r="F78" i="1"/>
  <c r="G78" i="1" s="1"/>
  <c r="F30" i="1"/>
  <c r="G30" i="1" s="1"/>
  <c r="F28" i="1"/>
  <c r="G28" i="1" s="1"/>
  <c r="F29" i="1"/>
  <c r="G29" i="1" s="1"/>
  <c r="F130" i="1"/>
  <c r="G130" i="1" s="1"/>
  <c r="F127" i="1"/>
  <c r="G127" i="1" s="1"/>
  <c r="F196" i="1"/>
  <c r="G196" i="1" s="1"/>
  <c r="F66" i="1"/>
  <c r="G66" i="1" s="1"/>
  <c r="F174" i="1"/>
  <c r="G174" i="1" s="1"/>
  <c r="F172" i="1"/>
  <c r="G172" i="1" s="1"/>
  <c r="F173" i="1"/>
  <c r="G173" i="1" s="1"/>
  <c r="F179" i="1"/>
  <c r="G179" i="1" s="1"/>
  <c r="F176" i="1"/>
  <c r="G176" i="1" s="1"/>
  <c r="F169" i="1"/>
  <c r="G169" i="1" s="1"/>
  <c r="F138" i="1"/>
  <c r="G138" i="1" s="1"/>
  <c r="F123" i="1"/>
  <c r="G123" i="1" s="1"/>
  <c r="F178" i="1"/>
  <c r="G178" i="1" s="1"/>
  <c r="F175" i="1"/>
  <c r="G175" i="1" s="1"/>
  <c r="F168" i="1"/>
  <c r="G168" i="1" s="1"/>
  <c r="F165" i="1"/>
  <c r="G165" i="1" s="1"/>
  <c r="F157" i="1"/>
  <c r="G157" i="1" s="1"/>
  <c r="F155" i="1"/>
  <c r="G155" i="1" s="1"/>
  <c r="F139" i="1"/>
  <c r="G139" i="1" s="1"/>
  <c r="F121" i="1"/>
  <c r="G121" i="1" s="1"/>
  <c r="F177" i="1"/>
  <c r="G177" i="1" s="1"/>
  <c r="F171" i="1"/>
  <c r="G171" i="1" s="1"/>
  <c r="F167" i="1"/>
  <c r="G167" i="1" s="1"/>
  <c r="F164" i="1"/>
  <c r="G164" i="1" s="1"/>
  <c r="F136" i="1"/>
  <c r="G136" i="1" s="1"/>
  <c r="F163" i="1"/>
  <c r="G163" i="1" s="1"/>
  <c r="F170" i="1"/>
  <c r="G170" i="1" s="1"/>
  <c r="F166" i="1"/>
  <c r="G166" i="1" s="1"/>
  <c r="F160" i="1"/>
  <c r="G160" i="1" s="1"/>
  <c r="F156" i="1"/>
  <c r="G156" i="1" s="1"/>
  <c r="F137" i="1"/>
  <c r="G137" i="1" s="1"/>
  <c r="F122" i="1"/>
  <c r="G122" i="1" s="1"/>
  <c r="F99" i="1"/>
  <c r="G99" i="1" s="1"/>
  <c r="F91" i="1"/>
  <c r="G91" i="1" s="1"/>
  <c r="F95" i="1"/>
  <c r="G95" i="1" s="1"/>
  <c r="F103" i="1"/>
  <c r="G103" i="1" s="1"/>
  <c r="F104" i="1"/>
  <c r="G104" i="1" s="1"/>
  <c r="F98" i="1"/>
  <c r="G98" i="1" s="1"/>
  <c r="F92" i="1"/>
  <c r="G92" i="1" s="1"/>
  <c r="F102" i="1"/>
  <c r="G102" i="1" s="1"/>
  <c r="F88" i="1"/>
  <c r="G88" i="1" s="1"/>
  <c r="F101" i="1"/>
  <c r="G101" i="1" s="1"/>
  <c r="F97" i="1"/>
  <c r="G97" i="1" s="1"/>
  <c r="F93" i="1"/>
  <c r="G93" i="1" s="1"/>
  <c r="F89" i="1"/>
  <c r="G89" i="1" s="1"/>
  <c r="F87" i="1"/>
  <c r="G87" i="1" s="1"/>
  <c r="F100" i="1"/>
  <c r="G100" i="1" s="1"/>
  <c r="F96" i="1"/>
  <c r="G96" i="1" s="1"/>
  <c r="F94" i="1"/>
  <c r="G94" i="1" s="1"/>
  <c r="F90" i="1"/>
  <c r="G90" i="1" s="1"/>
  <c r="F86" i="1"/>
  <c r="G86" i="1" s="1"/>
  <c r="F105" i="1"/>
  <c r="G105" i="1" s="1"/>
  <c r="F159" i="1"/>
  <c r="G159" i="1" s="1"/>
  <c r="F184" i="1"/>
  <c r="G184" i="1" s="1"/>
  <c r="F188" i="1"/>
  <c r="G188" i="1" s="1"/>
  <c r="F192" i="1"/>
  <c r="G192" i="1" s="1"/>
  <c r="F189" i="1"/>
  <c r="G189" i="1" s="1"/>
  <c r="F193" i="1"/>
  <c r="G193" i="1" s="1"/>
  <c r="F190" i="1"/>
  <c r="G190" i="1" s="1"/>
  <c r="F106" i="1"/>
  <c r="G106" i="1" s="1"/>
  <c r="F185" i="1"/>
  <c r="G185" i="1" s="1"/>
  <c r="F125" i="1"/>
  <c r="G125" i="1" s="1"/>
  <c r="F182" i="1"/>
  <c r="G182" i="1" s="1"/>
  <c r="F141" i="1"/>
  <c r="G141" i="1" s="1"/>
  <c r="F183" i="1"/>
  <c r="G183" i="1" s="1"/>
  <c r="F187" i="1"/>
  <c r="G187" i="1" s="1"/>
  <c r="F191" i="1"/>
  <c r="G191" i="1" s="1"/>
  <c r="F186" i="1"/>
  <c r="G186" i="1" s="1"/>
  <c r="F133" i="1"/>
  <c r="G133" i="1" s="1"/>
  <c r="F82" i="1"/>
  <c r="G82" i="1" s="1"/>
  <c r="F77" i="1"/>
  <c r="G77" i="1" s="1"/>
  <c r="F41" i="1"/>
  <c r="G41" i="1" s="1"/>
  <c r="F35" i="1"/>
  <c r="G35" i="1" s="1"/>
  <c r="F59" i="1"/>
  <c r="G59" i="1" s="1"/>
  <c r="F16" i="1"/>
  <c r="G16" i="1" s="1"/>
  <c r="F17" i="1"/>
  <c r="G17" i="1" s="1"/>
  <c r="F63" i="1"/>
  <c r="G63" i="1" s="1"/>
  <c r="F71" i="1"/>
  <c r="G71" i="1" s="1"/>
  <c r="F20" i="1"/>
  <c r="G20" i="1" s="1"/>
  <c r="F40" i="1"/>
  <c r="G40" i="1" s="1"/>
  <c r="F14" i="1"/>
  <c r="G14" i="1" s="1"/>
  <c r="F13" i="1"/>
  <c r="G13" i="1" s="1"/>
  <c r="F62" i="1"/>
  <c r="G62" i="1" s="1"/>
  <c r="F51" i="1"/>
  <c r="G51" i="1" s="1"/>
  <c r="G53" i="1" s="1"/>
  <c r="F52" i="1"/>
  <c r="G52" i="1" s="1"/>
  <c r="F44" i="1"/>
  <c r="G44" i="1" s="1"/>
  <c r="F46" i="1"/>
  <c r="G46" i="1" s="1"/>
  <c r="F45" i="1"/>
  <c r="G45" i="1" s="1"/>
  <c r="F43" i="1"/>
  <c r="G43" i="1" s="1"/>
  <c r="F36" i="1"/>
  <c r="G36" i="1" s="1"/>
  <c r="F34" i="1"/>
  <c r="G34" i="1" s="1"/>
  <c r="F38" i="1"/>
  <c r="G38" i="1" s="1"/>
  <c r="F67" i="1"/>
  <c r="G67" i="1" s="1"/>
  <c r="F70" i="1"/>
  <c r="G70" i="1" s="1"/>
  <c r="F37" i="1"/>
  <c r="G37" i="1" s="1"/>
  <c r="F25" i="1"/>
  <c r="G25" i="1" s="1"/>
  <c r="F21" i="1"/>
  <c r="G21" i="1" s="1"/>
  <c r="F72" i="1"/>
  <c r="G72" i="1" s="1"/>
  <c r="F218" i="1"/>
  <c r="G218" i="1" s="1"/>
  <c r="F217" i="1"/>
  <c r="G217" i="1" s="1"/>
  <c r="F216" i="1"/>
  <c r="G216" i="1" s="1"/>
  <c r="F215" i="1"/>
  <c r="G215" i="1" s="1"/>
  <c r="F214" i="1"/>
  <c r="G214" i="1" s="1"/>
  <c r="F210" i="1"/>
  <c r="G210" i="1" s="1"/>
  <c r="F213" i="1"/>
  <c r="G213" i="1" s="1"/>
  <c r="F209" i="1"/>
  <c r="G209" i="1" s="1"/>
  <c r="F212" i="1"/>
  <c r="G212" i="1" s="1"/>
  <c r="F211" i="1"/>
  <c r="G211" i="1" s="1"/>
  <c r="F205" i="1"/>
  <c r="G205" i="1" s="1"/>
  <c r="F204" i="1"/>
  <c r="G204" i="1" s="1"/>
  <c r="F142" i="1"/>
  <c r="G142" i="1" s="1"/>
  <c r="F199" i="1"/>
  <c r="G199" i="1" s="1"/>
  <c r="G200" i="1" s="1"/>
  <c r="F27" i="1"/>
  <c r="G27" i="1" s="1"/>
  <c r="F18" i="1"/>
  <c r="G18" i="1" s="1"/>
  <c r="F15" i="1"/>
  <c r="G15" i="1" s="1"/>
  <c r="F64" i="1"/>
  <c r="G64" i="1" s="1"/>
  <c r="F65" i="1"/>
  <c r="G65" i="1" s="1"/>
  <c r="F207" i="1"/>
  <c r="G207" i="1" s="1"/>
  <c r="F19" i="1"/>
  <c r="G19" i="1" s="1"/>
  <c r="F208" i="1"/>
  <c r="G208" i="1" s="1"/>
  <c r="F112" i="1"/>
  <c r="G112" i="1" s="1"/>
  <c r="F126" i="1"/>
  <c r="G126" i="1" s="1"/>
  <c r="F154" i="1"/>
  <c r="F150" i="1"/>
  <c r="F151" i="1"/>
  <c r="F149" i="1"/>
  <c r="F145" i="1"/>
  <c r="G145" i="1" s="1"/>
  <c r="F143" i="1"/>
  <c r="G143" i="1" s="1"/>
  <c r="F131" i="1"/>
  <c r="G131" i="1" s="1"/>
  <c r="F152" i="1"/>
  <c r="F153" i="1"/>
  <c r="F146" i="1"/>
  <c r="G146" i="1" s="1"/>
  <c r="F144" i="1"/>
  <c r="G144" i="1" s="1"/>
  <c r="F132" i="1"/>
  <c r="G132" i="1" s="1"/>
  <c r="F109" i="1"/>
  <c r="G109" i="1" s="1"/>
  <c r="F114" i="1"/>
  <c r="G114" i="1" s="1"/>
  <c r="F118" i="1"/>
  <c r="G118" i="1" s="1"/>
  <c r="F111" i="1"/>
  <c r="G111" i="1" s="1"/>
  <c r="F117" i="1"/>
  <c r="G117" i="1" s="1"/>
  <c r="F110" i="1"/>
  <c r="G110" i="1" s="1"/>
  <c r="F115" i="1"/>
  <c r="G115" i="1" s="1"/>
  <c r="F107" i="1"/>
  <c r="G107" i="1" s="1"/>
  <c r="F116" i="1"/>
  <c r="G116" i="1" s="1"/>
  <c r="F108" i="1"/>
  <c r="G108" i="1" s="1"/>
  <c r="F113" i="1"/>
  <c r="G113" i="1" s="1"/>
  <c r="F83" i="1"/>
  <c r="G83" i="1" s="1"/>
  <c r="F76" i="1"/>
  <c r="G76" i="1" s="1"/>
  <c r="F81" i="1"/>
  <c r="G81" i="1" s="1"/>
  <c r="F75" i="1"/>
  <c r="G75" i="1" s="1"/>
  <c r="F68" i="1"/>
  <c r="G68" i="1" s="1"/>
  <c r="F69" i="1"/>
  <c r="G69" i="1" s="1"/>
  <c r="F57" i="1"/>
  <c r="G57" i="1" s="1"/>
  <c r="F56" i="1"/>
  <c r="G56" i="1" s="1"/>
  <c r="F58" i="1"/>
  <c r="G58" i="1" s="1"/>
  <c r="F206" i="1"/>
  <c r="G206" i="1" s="1"/>
  <c r="F55" i="1"/>
  <c r="G55" i="1" s="1"/>
  <c r="F42" i="1"/>
  <c r="G42" i="1" s="1"/>
  <c r="F47" i="1"/>
  <c r="G47" i="1" s="1"/>
  <c r="F39" i="1"/>
  <c r="G39" i="1" s="1"/>
  <c r="F48" i="1"/>
  <c r="G48" i="1" s="1"/>
  <c r="F26" i="1"/>
  <c r="G26" i="1" s="1"/>
  <c r="F11" i="1"/>
  <c r="G11" i="1" s="1"/>
  <c r="F12" i="1"/>
  <c r="G12" i="1" s="1"/>
  <c r="G23" i="1" l="1"/>
  <c r="G32" i="1"/>
  <c r="G79" i="1"/>
  <c r="G128" i="1"/>
  <c r="G161" i="1"/>
  <c r="G197" i="1"/>
  <c r="C21" i="2" s="1"/>
  <c r="E21" i="2" s="1"/>
  <c r="G147" i="1"/>
  <c r="G149" i="1" s="1"/>
  <c r="G119" i="1"/>
  <c r="G73" i="1"/>
  <c r="G49" i="1"/>
  <c r="G134" i="1"/>
  <c r="G60" i="1"/>
  <c r="C12" i="2" s="1"/>
  <c r="G219" i="1"/>
  <c r="C22" i="2"/>
  <c r="I22" i="2" s="1"/>
  <c r="K22" i="2" s="1"/>
  <c r="G150" i="1" l="1"/>
  <c r="C8" i="2"/>
  <c r="I8" i="2" s="1"/>
  <c r="G21" i="2"/>
  <c r="I21" i="2"/>
  <c r="G12" i="2"/>
  <c r="I12" i="2"/>
  <c r="E12" i="2"/>
  <c r="C19" i="2"/>
  <c r="C13" i="2"/>
  <c r="G151" i="1" l="1"/>
  <c r="G152" i="1" s="1"/>
  <c r="G153" i="1" s="1"/>
  <c r="E8" i="2"/>
  <c r="G8" i="2"/>
  <c r="K21" i="2"/>
  <c r="K12" i="2"/>
  <c r="I19" i="2"/>
  <c r="E19" i="2"/>
  <c r="G19" i="2"/>
  <c r="I13" i="2"/>
  <c r="E13" i="2"/>
  <c r="G13" i="2"/>
  <c r="C18" i="2"/>
  <c r="C17" i="2"/>
  <c r="C16" i="2"/>
  <c r="G84" i="1"/>
  <c r="G201" i="1" s="1"/>
  <c r="C15" i="2" l="1"/>
  <c r="G15" i="2" s="1"/>
  <c r="G154" i="1"/>
  <c r="C20" i="2" s="1"/>
  <c r="K8" i="2"/>
  <c r="K19" i="2"/>
  <c r="I17" i="2"/>
  <c r="E17" i="2"/>
  <c r="G17" i="2"/>
  <c r="G18" i="2"/>
  <c r="E18" i="2"/>
  <c r="I18" i="2"/>
  <c r="E16" i="2"/>
  <c r="G16" i="2"/>
  <c r="I16" i="2"/>
  <c r="K13" i="2"/>
  <c r="C14" i="2"/>
  <c r="E15" i="2" l="1"/>
  <c r="I15" i="2"/>
  <c r="I20" i="2"/>
  <c r="E20" i="2"/>
  <c r="G20" i="2"/>
  <c r="K17" i="2"/>
  <c r="G14" i="2"/>
  <c r="E14" i="2"/>
  <c r="I14" i="2"/>
  <c r="K16" i="2"/>
  <c r="K18" i="2"/>
  <c r="C10" i="2"/>
  <c r="K15" i="2" l="1"/>
  <c r="K20" i="2"/>
  <c r="K14" i="2"/>
  <c r="G10" i="2"/>
  <c r="E10" i="2"/>
  <c r="I10" i="2"/>
  <c r="K10" i="2" l="1"/>
  <c r="C11" i="2" l="1"/>
  <c r="E11" i="2" s="1"/>
  <c r="B4" i="2"/>
  <c r="A4" i="2"/>
  <c r="A2" i="2"/>
  <c r="A1" i="2"/>
  <c r="G11" i="2" l="1"/>
  <c r="I11" i="2"/>
  <c r="C9" i="2"/>
  <c r="C23" i="2" s="1"/>
  <c r="D22" i="2" s="1"/>
  <c r="K11" i="2" l="1"/>
  <c r="I9" i="2"/>
  <c r="I24" i="2" s="1"/>
  <c r="G9" i="2"/>
  <c r="G24" i="2" s="1"/>
  <c r="E9" i="2"/>
  <c r="E24" i="2" s="1"/>
  <c r="D9" i="2"/>
  <c r="K9" i="2" l="1"/>
  <c r="K24" i="2" s="1"/>
  <c r="D12" i="2"/>
  <c r="D19" i="2"/>
  <c r="D14" i="2"/>
  <c r="D10" i="2"/>
  <c r="D13" i="2"/>
  <c r="D11" i="2"/>
  <c r="D16" i="2"/>
  <c r="D18" i="2"/>
  <c r="D8" i="2"/>
  <c r="D17" i="2"/>
  <c r="D15" i="2"/>
  <c r="D20" i="2"/>
  <c r="D21" i="2"/>
  <c r="J24" i="2"/>
  <c r="H24" i="2"/>
  <c r="D23" i="2" l="1"/>
  <c r="L24" i="2"/>
  <c r="E25" i="2"/>
  <c r="G25" i="2" s="1"/>
  <c r="I25" i="2" s="1"/>
  <c r="F24" i="2"/>
  <c r="F25" i="2" s="1"/>
  <c r="H25" i="2" s="1"/>
  <c r="J25" i="2" s="1"/>
</calcChain>
</file>

<file path=xl/sharedStrings.xml><?xml version="1.0" encoding="utf-8"?>
<sst xmlns="http://schemas.openxmlformats.org/spreadsheetml/2006/main" count="728" uniqueCount="442">
  <si>
    <t>ITEM</t>
  </si>
  <si>
    <t>1.2</t>
  </si>
  <si>
    <t>1.3</t>
  </si>
  <si>
    <t>m²</t>
  </si>
  <si>
    <t>m³</t>
  </si>
  <si>
    <t>SUPRA-ESTRUTURA</t>
  </si>
  <si>
    <t>IMPERMEABILIZAÇÕES</t>
  </si>
  <si>
    <t>Un</t>
  </si>
  <si>
    <t>COBERTURA E PROTEÇÕES</t>
  </si>
  <si>
    <t>PINTURA</t>
  </si>
  <si>
    <t>m</t>
  </si>
  <si>
    <t>TOTAL</t>
  </si>
  <si>
    <t>DISCRIMINAÇÃO DOS SERVIÇOS</t>
  </si>
  <si>
    <t>UNID</t>
  </si>
  <si>
    <t>QUANT</t>
  </si>
  <si>
    <t xml:space="preserve">PROJETO : </t>
  </si>
  <si>
    <t>2.1</t>
  </si>
  <si>
    <t>5.1</t>
  </si>
  <si>
    <t>8.1</t>
  </si>
  <si>
    <t>9.1</t>
  </si>
  <si>
    <t>PREFEITURA MUNICIPAL DE TIMBÓ</t>
  </si>
  <si>
    <t>CRONOGRAMA FISICO E FINANCEIRO</t>
  </si>
  <si>
    <t>ETAPAS</t>
  </si>
  <si>
    <t>30 DIAS</t>
  </si>
  <si>
    <t>60 DIAS</t>
  </si>
  <si>
    <t>90 DIAS</t>
  </si>
  <si>
    <t>R$</t>
  </si>
  <si>
    <t>%</t>
  </si>
  <si>
    <t>VALOR ACUM. PARCIAL</t>
  </si>
  <si>
    <t>VALOR ACUM. GLOBAL</t>
  </si>
  <si>
    <t>VALOR TOTAL</t>
  </si>
  <si>
    <t>VALOR</t>
  </si>
  <si>
    <t>13.1</t>
  </si>
  <si>
    <t>1.1</t>
  </si>
  <si>
    <t>PREVENTIVO CONTRA INCÊNDIO</t>
  </si>
  <si>
    <t>PAREDES E PAINÉIS</t>
  </si>
  <si>
    <t>EXTINTOR PÓ QUÍMICO SECO 4kg</t>
  </si>
  <si>
    <t>TOTAL DA ETAPA</t>
  </si>
  <si>
    <t>TOTAL GERAL</t>
  </si>
  <si>
    <t>1º MÊS</t>
  </si>
  <si>
    <t>2º MÊS</t>
  </si>
  <si>
    <t>3º MÊS</t>
  </si>
  <si>
    <t>ORÇAMENTO</t>
  </si>
  <si>
    <t>unid</t>
  </si>
  <si>
    <t>DRENAGEM PLUVIAL</t>
  </si>
  <si>
    <t>2.2</t>
  </si>
  <si>
    <t>13.2</t>
  </si>
  <si>
    <t xml:space="preserve">CUSTO UNIT. </t>
  </si>
  <si>
    <t>INST.  ELÉTRICAS</t>
  </si>
  <si>
    <t>8.2</t>
  </si>
  <si>
    <t>9.2</t>
  </si>
  <si>
    <t>11.1</t>
  </si>
  <si>
    <t>12.1</t>
  </si>
  <si>
    <t>13.3</t>
  </si>
  <si>
    <t>14.1</t>
  </si>
  <si>
    <t>14.2</t>
  </si>
  <si>
    <t>14.3</t>
  </si>
  <si>
    <t>3.1</t>
  </si>
  <si>
    <t>3.2</t>
  </si>
  <si>
    <t>3.3</t>
  </si>
  <si>
    <t>4.1</t>
  </si>
  <si>
    <t>6.1</t>
  </si>
  <si>
    <t>6.2</t>
  </si>
  <si>
    <t>6.3</t>
  </si>
  <si>
    <t>7.1</t>
  </si>
  <si>
    <t>7.2</t>
  </si>
  <si>
    <t>10.1</t>
  </si>
  <si>
    <t>12.2</t>
  </si>
  <si>
    <t>12.3</t>
  </si>
  <si>
    <t>I21.20.05.05.0206</t>
  </si>
  <si>
    <t>PERFIL U ENRIJECIDO 75X40X15 CHAPA DE AÇO ESP. 3MM. "BARRA 6M" TERÇAS</t>
  </si>
  <si>
    <t>Und</t>
  </si>
  <si>
    <t>PERFIL U ENRIJECIDO 75X40X15 CHAPA DE AÇO ESP. 3MM. "BARRA 6M" CAIBRO</t>
  </si>
  <si>
    <t>TELHA SANDUÍCHE PRÉ-PINTADA 02 FACE COM ENCHIMENTO EM POLIURETANO DE 30MM, LARGURA DE 1030MM E ESPESURA DE 0,5MM</t>
  </si>
  <si>
    <t>P01 (2.30x1.80) - PORTA DE FERRO ENROLAR 2 FLS. - EIXO VERTICAL COR A DEFINIR</t>
  </si>
  <si>
    <t>HIDRÁULICO</t>
  </si>
  <si>
    <t>SANITÁRIO</t>
  </si>
  <si>
    <t>Te PVC 25 mm</t>
  </si>
  <si>
    <t>Joelho 90° PVC 25 mm</t>
  </si>
  <si>
    <t>13.4</t>
  </si>
  <si>
    <t>Torneira elétrica</t>
  </si>
  <si>
    <t>C16.50.05.125.005</t>
  </si>
  <si>
    <t>C16.50.05.100.023</t>
  </si>
  <si>
    <t>Cuba em aço inox</t>
  </si>
  <si>
    <t>Tanque em aço inox</t>
  </si>
  <si>
    <t>PINGADEIRA EM CONCRETO PARA PLATIBANDA</t>
  </si>
  <si>
    <t>Caixa d'água de 10000 litros instalada</t>
  </si>
  <si>
    <t>I16.20.05.05.0325</t>
  </si>
  <si>
    <t>Caixa de gordura com tubo de concreto de 1 metro</t>
  </si>
  <si>
    <t>Interruptor paralelo 2 teclas</t>
  </si>
  <si>
    <t>Fios de 2,5 mm²</t>
  </si>
  <si>
    <t>Fio de 6 mm²</t>
  </si>
  <si>
    <t>Interruptor com 1,2 e 3 teclas simples</t>
  </si>
  <si>
    <t>Dijuntor 10 A</t>
  </si>
  <si>
    <t>Dijuntor 15 A</t>
  </si>
  <si>
    <t>Dijuntor 30 A</t>
  </si>
  <si>
    <t>Eletroduto rígido 1"</t>
  </si>
  <si>
    <t>Eletrocalha FeGa barra de 300cm dim. 100X100mm</t>
  </si>
  <si>
    <t>LUMINÁRIA FLUORESCENTE  DE SOBREPOR 2x40, AUTO-BRILHO, COM ALETAS - COMPLETA</t>
  </si>
  <si>
    <t>C21.15.62.10.020</t>
  </si>
  <si>
    <t>Eletroduto de PVC flexivel corrugada 3/4"</t>
  </si>
  <si>
    <t>C21.15.43.10.009</t>
  </si>
  <si>
    <t>6.4</t>
  </si>
  <si>
    <t>1.4</t>
  </si>
  <si>
    <t>INFRAESTRUTURA</t>
  </si>
  <si>
    <t xml:space="preserve">PREÇO UNIT. </t>
  </si>
  <si>
    <t>PREÇO (CUSTO+BDI)</t>
  </si>
  <si>
    <t>BDI</t>
  </si>
  <si>
    <t>1.5</t>
  </si>
  <si>
    <t>MOVIMENTAÇÃO DE TERRA</t>
  </si>
  <si>
    <t>C35.25.35.15.030</t>
  </si>
  <si>
    <t>Laje maciça em concreto armado Fck=25 MPa h=10 cm</t>
  </si>
  <si>
    <t>6.5</t>
  </si>
  <si>
    <t>C10.64.15.05.041</t>
  </si>
  <si>
    <t>J02 - (1.20x3.00) QUADRO COM TELA NYLON P/ MOSQUITO</t>
  </si>
  <si>
    <t>C10.64.20.20.005</t>
  </si>
  <si>
    <t>C10.36.25.17.005</t>
  </si>
  <si>
    <t>C16.40.05.05.015</t>
  </si>
  <si>
    <t>C10.36.24.05.007</t>
  </si>
  <si>
    <t>C16.05.15.10.020</t>
  </si>
  <si>
    <t>1.6</t>
  </si>
  <si>
    <t>C21.15.62.15.005</t>
  </si>
  <si>
    <t>tomada 2 p. com espelho</t>
  </si>
  <si>
    <t>C21.15.88.20.019</t>
  </si>
  <si>
    <t>C21.05.05.05.0325</t>
  </si>
  <si>
    <t>Caixa de distribuição de chapa galvanizada p/12 dijuntores trifásico</t>
  </si>
  <si>
    <t>C21.15.10.75.025</t>
  </si>
  <si>
    <t>C21.15.10.75.035</t>
  </si>
  <si>
    <t>C21.15.40.50.004</t>
  </si>
  <si>
    <t>C21.15.40.45.005</t>
  </si>
  <si>
    <t>C21.15.40.45.015</t>
  </si>
  <si>
    <t>C21.10.30.01.005</t>
  </si>
  <si>
    <t>C21.10.30.15.010</t>
  </si>
  <si>
    <t>C16.35.05.35.010</t>
  </si>
  <si>
    <t>C16.50.05.051.010</t>
  </si>
  <si>
    <t>Torneira metálica para tanque</t>
  </si>
  <si>
    <t>C16.05.15.25.010</t>
  </si>
  <si>
    <t>Tubo de PVC 25 mm</t>
  </si>
  <si>
    <t>C16.05.10.20.010</t>
  </si>
  <si>
    <t>C16.05.10.82.010</t>
  </si>
  <si>
    <t>Caixa de Inspeção em concreto 60 x 60 x 80cm com tampa em concreto pré-moldado e alça em aço</t>
  </si>
  <si>
    <t>C16.50.05.091.030</t>
  </si>
  <si>
    <t>Decomposição dos valores</t>
  </si>
  <si>
    <t>Fio de 10 mm²</t>
  </si>
  <si>
    <t>C21.15.10.75.040</t>
  </si>
  <si>
    <t>Tubo PVC 100 mm</t>
  </si>
  <si>
    <t>Joelho 45° PVC 100 mm</t>
  </si>
  <si>
    <t>Te PVC 100 mm</t>
  </si>
  <si>
    <t>2.3</t>
  </si>
  <si>
    <t>Retirada do contrapiso existente</t>
  </si>
  <si>
    <t>I10.05.05.15.545</t>
  </si>
  <si>
    <t>Remoção e recolocação do paver</t>
  </si>
  <si>
    <t>Santo André Serralheria</t>
  </si>
  <si>
    <t>Balaroti Mat. Constr.</t>
  </si>
  <si>
    <t>Ralo linear 70cm com grelha branca PVC</t>
  </si>
  <si>
    <t>I21.20.05.05.0202</t>
  </si>
  <si>
    <t>PLACA "SAÍDA"  DE EMERGÊNCIA ALIMENTAÇÃO - AUTÔNOMO 1x9w (120x80x90mm)</t>
  </si>
  <si>
    <t>Item orçado abaixo</t>
  </si>
  <si>
    <t xml:space="preserve">Coifa sobre o fogão </t>
  </si>
  <si>
    <t>Placa de granito cinza Mundo Novo esp. 4 cm - bancada</t>
  </si>
  <si>
    <t>C16.25.10.34.025</t>
  </si>
  <si>
    <t>C16.25.10.74.015</t>
  </si>
  <si>
    <t>73801/001</t>
  </si>
  <si>
    <t>preço da loja</t>
  </si>
  <si>
    <t>Tela de ventilação</t>
  </si>
  <si>
    <t>9.3</t>
  </si>
  <si>
    <t>9.4</t>
  </si>
  <si>
    <t>15.1</t>
  </si>
  <si>
    <t>LIMPEZA FINAL E ENTREGA DA OBRA</t>
  </si>
  <si>
    <t>C10.32.10.05.010</t>
  </si>
  <si>
    <t>Soleira de granito cinza Mundo Novo esp. 4 cm
(espessura: 20mm / largura: 200mm)</t>
  </si>
  <si>
    <t>Marmoraria Laser</t>
  </si>
  <si>
    <t>C10.64.15.25.010</t>
  </si>
  <si>
    <t>J01 - (1.20x3.00) JANELA ALUMINIO ANODIZADO BRONZE TIPO VENEZIANA - ABRIR  2 FL.</t>
  </si>
  <si>
    <t>P02 (2.30x1.00) - PORTA ALUMINIO ANODIZADO BRONZE TIPO VENEZIANA - ABRIR, EIXO VERTICAL.</t>
  </si>
  <si>
    <t>P04 (1.00x2.10) - PORTA ALUMÍNIO ANODIZADO BRONZE TIPO VENEZIANA - ABRIR 1 FL.</t>
  </si>
  <si>
    <t>P03 (1.40x1.80) - PORTA ALUMINIO ANODIZADO BRONZE TIPO VENEZIANA - ABRIR 2 FL.</t>
  </si>
  <si>
    <t>C16.10.05.66.015</t>
  </si>
  <si>
    <t xml:space="preserve">Registro de gaveta com canopla metálica cromada (25 mm)  </t>
  </si>
  <si>
    <t>SISTEMA DE GÁS</t>
  </si>
  <si>
    <t>C10.84.40.05.015</t>
  </si>
  <si>
    <t>C16.37.05.5.080</t>
  </si>
  <si>
    <t>C16.10.05.68.005</t>
  </si>
  <si>
    <t>C16.37.05.05.070</t>
  </si>
  <si>
    <t>C16.20.05.25.002</t>
  </si>
  <si>
    <t>OBS: toda tubulação enterrada será pintada com tinta "ONDALIT TUBOPRIMER" e isolada com fita "ONDALIT TUBOFITA".</t>
  </si>
  <si>
    <t>OBS: toda tubulação exposta aparente de gás, será pintada na cor amarela.</t>
  </si>
  <si>
    <t>Bluminox</t>
  </si>
  <si>
    <t>ITENS SUPRIMIDOS</t>
  </si>
  <si>
    <t>TOTAL SUPRIMIDO</t>
  </si>
  <si>
    <t>13.5</t>
  </si>
  <si>
    <t>14.4</t>
  </si>
  <si>
    <t>14.5</t>
  </si>
  <si>
    <t>14.6</t>
  </si>
  <si>
    <t>3.4</t>
  </si>
  <si>
    <t>5.2</t>
  </si>
  <si>
    <t>5.3</t>
  </si>
  <si>
    <t>5.4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</si>
  <si>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</si>
  <si>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</si>
  <si>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</si>
  <si>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</si>
  <si>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</si>
  <si>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</si>
  <si>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</si>
  <si>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</si>
  <si>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</si>
  <si>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11.2</t>
  </si>
  <si>
    <t>11.3</t>
  </si>
  <si>
    <t>12.4</t>
  </si>
  <si>
    <t>12.5</t>
  </si>
  <si>
    <t>13.6</t>
  </si>
  <si>
    <t>14.7</t>
  </si>
  <si>
    <t>14.8</t>
  </si>
  <si>
    <t>14.9</t>
  </si>
  <si>
    <t>14.10</t>
  </si>
  <si>
    <t>14.11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</si>
  <si>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</si>
  <si>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</si>
  <si>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</si>
  <si>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</si>
  <si>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</si>
  <si>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</si>
  <si>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</si>
  <si>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</si>
  <si>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</si>
  <si>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REATERRO DE VALA COM COMPACTAÇÃO MANUAL</t>
  </si>
  <si>
    <t>ESTRUTURA METALICA EM TESOURAS OU TRELICAS, VAO LIVRE DE 12M, FORNECIMENTO E MONTAGEM</t>
  </si>
  <si>
    <t>CALHA EM CHAPA DE AÇO GALVANIZADO NÚMERO 24, DESENVOLVIMENTO DE 100 CM, INCLUSO TRANSPORTE VERTICAL. AF_06/2016</t>
  </si>
  <si>
    <t>Vergas e contra vergas em concreto armado h=15cm com treliça. (0,15x0,15x7,5)</t>
  </si>
  <si>
    <t>LAJE PRE-MOLDADA P/FORRO, SOBRECARGA 100KG/M2, VAOS ATE 3,50M/E=8CM, C/LAJOTAS E CAP.C/CONC FCK=20MPA, 3CM, INTER-EIXO 38CM, C/ESCORAMENTO (REAPR.3X) E FERRAGEM NEGATIVA</t>
  </si>
  <si>
    <t>74202/001</t>
  </si>
  <si>
    <t>74106/001</t>
  </si>
  <si>
    <t>Aço CA-50 8.0mm = 0,395Kg/m</t>
  </si>
  <si>
    <r>
      <rPr>
        <b/>
        <i/>
        <sz val="10"/>
        <rFont val="Arial"/>
        <family val="2"/>
      </rPr>
      <t>SAPATA</t>
    </r>
    <r>
      <rPr>
        <i/>
        <sz val="10"/>
        <rFont val="Arial"/>
        <family val="2"/>
      </rPr>
      <t xml:space="preserve"> DE 0,60X0,60X0,30</t>
    </r>
  </si>
  <si>
    <t>Utilizar afastamento de 15cm e altura da dobra de 15cm</t>
  </si>
  <si>
    <t>0,60 / 0,15 = 5und 0,90m</t>
  </si>
  <si>
    <r>
      <rPr>
        <b/>
        <i/>
        <sz val="10"/>
        <rFont val="Arial"/>
        <family val="2"/>
      </rPr>
      <t>SAPATA</t>
    </r>
    <r>
      <rPr>
        <i/>
        <sz val="10"/>
        <rFont val="Arial"/>
        <family val="2"/>
      </rPr>
      <t xml:space="preserve"> DE 1,10X1,10X0,30</t>
    </r>
  </si>
  <si>
    <t>1,10 / 0,15 = 9und 1,40m</t>
  </si>
  <si>
    <t>8.3</t>
  </si>
  <si>
    <t>74077/002</t>
  </si>
  <si>
    <t>*1</t>
  </si>
  <si>
    <t>AMPLIAÇÃO UPE GIRASSOL</t>
  </si>
  <si>
    <t xml:space="preserve">LOCAL: </t>
  </si>
  <si>
    <t>Rua Richardt Schubert - Bairro Vila Germer</t>
  </si>
  <si>
    <t>RUFO EM CHAPA DE AÇO GALVANIZADO NÚMERO 24, CORTE DE 25 CM, INCLUSO TRANSPORTE VERTICAL</t>
  </si>
  <si>
    <t>73753/001</t>
  </si>
  <si>
    <t>Aço CA-50 6.3mm = 0,245Kg/m</t>
  </si>
  <si>
    <t>Aço CA-50 10.0mm = 0,617Kg/m</t>
  </si>
  <si>
    <t>Utilizar afastamento de 15cm para barras e estribos</t>
  </si>
  <si>
    <t>*2</t>
  </si>
  <si>
    <r>
      <t xml:space="preserve">Barras de 10.0mm = 0,15 / 0,15 = 1 und + 0,15 / 0,15 = 1 und + 0,30 / 0,15 = 2 und + 0,30 / 0,15 = 2 und = 1+1+2+2 = 6 und. * 3,00m = </t>
    </r>
    <r>
      <rPr>
        <b/>
        <i/>
        <sz val="10"/>
        <rFont val="Arial"/>
        <family val="2"/>
      </rPr>
      <t>18,00m</t>
    </r>
  </si>
  <si>
    <r>
      <rPr>
        <b/>
        <i/>
        <sz val="10"/>
        <rFont val="Arial"/>
        <family val="2"/>
      </rPr>
      <t>PILARES</t>
    </r>
    <r>
      <rPr>
        <i/>
        <sz val="10"/>
        <rFont val="Arial"/>
        <family val="2"/>
      </rPr>
      <t xml:space="preserve"> DE 0,15X0,30X3,00</t>
    </r>
  </si>
  <si>
    <r>
      <t xml:space="preserve">Barras de 6.3mm = 3,00 / 0,15 = 21 und.  * 1,00m = </t>
    </r>
    <r>
      <rPr>
        <b/>
        <i/>
        <sz val="10"/>
        <rFont val="Arial"/>
        <family val="2"/>
      </rPr>
      <t>21m</t>
    </r>
  </si>
  <si>
    <t>CINTA DE AMARRAÇÃO DE ALVENARIA MOLDADA IN LOCO EM CONCRETO  Fck=25MPa (0,15x0,30)</t>
  </si>
  <si>
    <t>DEMOLICAO DE PISO DE ALTA RESISTENCIA</t>
  </si>
  <si>
    <t>REMOCAO DE RODAPE CERAMICO</t>
  </si>
  <si>
    <t>ESCAVAÇÃO MANUAL DE VALAS</t>
  </si>
  <si>
    <t>*3</t>
  </si>
  <si>
    <t>IMPERMEABILIZACAO DE SUPERFICIE COM MANTA ASFALTICA PROTEGIDA COM FILME DE ALUMINIO GOFRADO (DE ESPESSURA 0,8MM), INCLUSA APLICACAO DE EMULSAO ASFALTICA, E=3MM (LAJE E VIGAS BALDRAME)</t>
  </si>
  <si>
    <r>
      <rPr>
        <b/>
        <i/>
        <sz val="10"/>
        <rFont val="Arial"/>
        <family val="2"/>
      </rPr>
      <t>PILAR REDONDO</t>
    </r>
    <r>
      <rPr>
        <i/>
        <sz val="10"/>
        <rFont val="Arial"/>
        <family val="2"/>
      </rPr>
      <t xml:space="preserve"> DE DIÂMETRO 0,20M E ALTURA 3,00M</t>
    </r>
  </si>
  <si>
    <r>
      <t xml:space="preserve">Barras de 6.3mm = 3,00 / 0,15 = 21 und.  * 0,63m = </t>
    </r>
    <r>
      <rPr>
        <b/>
        <i/>
        <sz val="10"/>
        <rFont val="Arial"/>
        <family val="2"/>
      </rPr>
      <t>13,23m</t>
    </r>
  </si>
  <si>
    <r>
      <t xml:space="preserve">Barras de 10.0mm =  6 und. * 3,50m = </t>
    </r>
    <r>
      <rPr>
        <b/>
        <i/>
        <sz val="10"/>
        <rFont val="Arial"/>
        <family val="2"/>
      </rPr>
      <t>21,00m</t>
    </r>
  </si>
  <si>
    <t>*4</t>
  </si>
  <si>
    <t>Utilizar afastamento de 20cm para estribos</t>
  </si>
  <si>
    <t>Utilizar afastamento de 15cm para estribos</t>
  </si>
  <si>
    <t>LOCACAO DE OBRA</t>
  </si>
  <si>
    <t>74209/001</t>
  </si>
  <si>
    <t>74220/001</t>
  </si>
  <si>
    <t>2.4</t>
  </si>
  <si>
    <t>3.5</t>
  </si>
  <si>
    <t>3.6</t>
  </si>
  <si>
    <t>3.7</t>
  </si>
  <si>
    <t>3.8</t>
  </si>
  <si>
    <t>6.6</t>
  </si>
  <si>
    <t>TRANSPORTE  DE ENTULHOS</t>
  </si>
  <si>
    <t xml:space="preserve"> SAPATA EM CONCRETO ARMADO FCK=25 MPA (1,10X1,10X0,30)</t>
  </si>
  <si>
    <t>SAPATA EM CONCRETO ARMADO FCK=25 MPA (0,60X0,60X0,30)</t>
  </si>
  <si>
    <t>VIGAS BALDRAME EM CONCRETO ARMADO FCK=25 MPA  NAS DIMENSÕES (15X40CM)</t>
  </si>
  <si>
    <t>PILAR REDONDO DIÂMETRO 0,20M E ALTURA 3,0M</t>
  </si>
  <si>
    <t>PILARES EM CONCRETO ARMADO FCK=25 MPA (0,15X0,30X3)</t>
  </si>
  <si>
    <t>DEMOLICAO DE ALVENARIA DE TIJOLOS MACICOS S/REAPROVEITAMENTO</t>
  </si>
  <si>
    <t>PEITORIL EM MARMORE BRANCO, LARGURA DE 25CM, ASSENTADO COM ARGAMASSA TRACO 1:3 (CIMENTO E AREIA MEDIA), PREPARO MANUAL DA ARGAMASSA</t>
  </si>
  <si>
    <t>5.5</t>
  </si>
  <si>
    <t>ESQUADRIAS</t>
  </si>
  <si>
    <t>JANELA DE ALUMÍNIO DE CORRER, 4 FOLHAS, FIXAÇÃO COM PARAFUSO, VEDAÇÃO COM ESPUMA EXPANSIVA PU, COM VIDROS, PADRONIZADA</t>
  </si>
  <si>
    <t>7.3</t>
  </si>
  <si>
    <t>3.9</t>
  </si>
  <si>
    <t>APLICAÇÃO MANUAL DE PINTURA COM TINTA LÁTEX ACRÍLICA EM PAREDES, DUAS DEMÃOS</t>
  </si>
  <si>
    <t>APLICAÇÃO MANUAL DE PINTURA COM TINTA LÁTEX ACRÍLICA EM TETO, DUAS DEMÃOS</t>
  </si>
  <si>
    <t>APLICAÇÃO DE FUNDO SELADOR LÁTEX PVA EM PAREDES, UMA DEMÃO</t>
  </si>
  <si>
    <t>APLICAÇÃO DE FUNDO SELADOR LÁTEX PVA EM TETO, UMA DEMÃO</t>
  </si>
  <si>
    <t>11.4</t>
  </si>
  <si>
    <t>LIMPEZA FINAL DA OBRA</t>
  </si>
  <si>
    <t>VERBA</t>
  </si>
  <si>
    <t>TELHAMENTO COM TELHA METÁLICA TERMOACÚSTICA E = 30 MM, COM ATÉ 2 ÁGUAS, INCLUSO IÇAMENTO (TELHA SANDUÍCHE)</t>
  </si>
  <si>
    <r>
      <rPr>
        <b/>
        <i/>
        <sz val="10"/>
        <rFont val="Arial"/>
        <family val="2"/>
      </rPr>
      <t>VIGAS BALDRAME</t>
    </r>
    <r>
      <rPr>
        <i/>
        <sz val="10"/>
        <rFont val="Arial"/>
        <family val="2"/>
      </rPr>
      <t xml:space="preserve"> DE 0,15X0,40X55m</t>
    </r>
  </si>
  <si>
    <r>
      <t xml:space="preserve">Barras de 10.0mm =  2 und. * 55,00m = </t>
    </r>
    <r>
      <rPr>
        <b/>
        <i/>
        <sz val="10"/>
        <rFont val="Arial"/>
        <family val="2"/>
      </rPr>
      <t>110,00m</t>
    </r>
  </si>
  <si>
    <r>
      <t xml:space="preserve">Barras de 8.0mm = 2 und. * 55,00m  = </t>
    </r>
    <r>
      <rPr>
        <b/>
        <i/>
        <sz val="10"/>
        <rFont val="Arial"/>
        <family val="2"/>
      </rPr>
      <t>110,00m</t>
    </r>
  </si>
  <si>
    <t>PORTA EM ALUMÍNIO DE ABRIR TIPO VENEZIANA COM GUARNIÇÃO, FIXAÇÃO COM PARAFUSOS - FORNECIMENTO E INSTALAÇÃO</t>
  </si>
  <si>
    <t>CAIXA DE MEDICAO EM ALTA TENSAO - FORNECIMENTO E INSTALACAO</t>
  </si>
  <si>
    <t>HASTE COPPERWELD 5/8 X 3,0M COM CONECTOR</t>
  </si>
  <si>
    <t>DISJUNTOR MONOPOLAR TIPO DIN, CORRENTE NOMINAL DE 16A</t>
  </si>
  <si>
    <t>DISJUNTOR MONOPOLAR TIPO DIN, CORRENTE NOMINAL DE 25A</t>
  </si>
  <si>
    <t>ELETRODUTO FLEXÍVEL CORRUGADO, PVC, DN 25 MM (3/4"), PARA CIRCUITOS TERMINAIS, INSTALADO EM PAREDE</t>
  </si>
  <si>
    <t>FIO DE COBRE 2,5 MM2</t>
  </si>
  <si>
    <t>FIO DE COBRE 6,0 MM2</t>
  </si>
  <si>
    <t>CAIXA OCTOGONAL PARA LUZ INSTALADA EM LAJE</t>
  </si>
  <si>
    <t>TOMADA MÉDIA DE EMBUTIR (1 MÓDULO), 2P+T 10 A</t>
  </si>
  <si>
    <t>TOMADA ALTA DE EMBUTIR (1 MÓDULO), 2P+T 20 A</t>
  </si>
  <si>
    <t>TOMADA MÉDIA DE EMBUTIR (1 MÓDULO), 2P+T 20 A</t>
  </si>
  <si>
    <t>INTERRUPTOR SIMPLES (1 MÓDULO) COM TOMADA 2P+T</t>
  </si>
  <si>
    <t>00038192</t>
  </si>
  <si>
    <t>9.14</t>
  </si>
  <si>
    <t>ILUMINAÇÃO DE EMERGÊNCIA AUTÔNOMA BI-VOLT, 30 LEDS</t>
  </si>
  <si>
    <t>EXTINTOR DE CO2 6KG - FORNECIMENTO E INSTALACAO</t>
  </si>
  <si>
    <t>10.2</t>
  </si>
  <si>
    <t>10.3</t>
  </si>
  <si>
    <t>PLACA DE SAÍDA DE EMERGÊNCIA ALIMENTAÇÃO - BLOCO AUTÔNOMO</t>
  </si>
  <si>
    <t>PONTO DE CONSUMO TERMINAL DE ÁGUA FRIA (SUBRAMAL) COM TUBULAÇÃO DE PVC, DN 25 MM, INSTALADO EM RAMAL DE ÁGUA, INCLUSOS RASGO E CHUMBAMENTO EM ALVENARIA</t>
  </si>
  <si>
    <t>REGISTRO GAVETA 1/2" C/ CANOPLA ACAB CROMADO SIMPLES</t>
  </si>
  <si>
    <t>REGISTRO PRESSÃO 1/2" C/ CANOPLA ACAB CROMADO SIMPLES</t>
  </si>
  <si>
    <t>INSTALAÇÃO DE TUBO PVC 25MM</t>
  </si>
  <si>
    <t>CAIXA DE INSPEÇÃO EM CONCRETO PRÉ-MOLDADO DN 60CM COM TAMPA H= 60CM</t>
  </si>
  <si>
    <t>CAIXA DE GORDURA SIMPLES EM CONCRETO PRE-MOLDADO DN 40MM COM TAMPA</t>
  </si>
  <si>
    <t>TUBO PVC, SERIE NORMAL, ESGOTO PREDIAL, DN 75 MM</t>
  </si>
  <si>
    <t>74166/001</t>
  </si>
  <si>
    <t>74051/002</t>
  </si>
  <si>
    <t>JOELHO 45 GRAUS, PVC, SERIE NORMAL, ESGOTO PREDIAL, DN 75 MM, JUNTA ELÁSTICA</t>
  </si>
  <si>
    <t>MANGUEIRA P/ GAS 1/2" C/ 1M</t>
  </si>
  <si>
    <t>REGISTRO OU REGULADOR DE GAS COZINHA, VAZAO DE 2 KG/H, 2,8 KPA</t>
  </si>
  <si>
    <t>LASTRO DE CONCRETO MAGRO, APLICADO EM PISOS OU RADIERS</t>
  </si>
  <si>
    <t>LASTRO DE VALA COM PREPARO DE FUNDO, LARGURA MENOR QUE 1,5 M, COM CAMADA DE BRITA, LANÇAMENTO MANUAL</t>
  </si>
  <si>
    <t>FORMA TABUA P/ CONCRETO EM FUNDACAO C/ REAPROVEITAMENTO 10 X</t>
  </si>
  <si>
    <t>ARMAÇÃO DE PILAR OU VIGA DE UMA ESTRUTURA CONVENCIONAL DE CONCRETO ARMADO EM UMA EDIFICAÇÃO TÉRREA OU SOBRADO UTILIZANDO AÇO CA-50 DE 8,0 MM</t>
  </si>
  <si>
    <t>CONCRETO FCK = 15MPA, TRAÇO 1:3,4:3,5 (CIMENTO/ AREIA MÉDIA/ BRITA 1) - PREPARO MECÂNICO COM BETONEIRA 400 L</t>
  </si>
  <si>
    <t>LANÇAMENTO COM USO DE BALDES, ADENSAMENTO E ACABAMENTO DE CONCRETO EM ESTRUTURAS</t>
  </si>
  <si>
    <t>LAJE PRE-MOLD BETA 12 P/3,5KN/M2 VAO 4,1M INCL VIGOTAS TIJOLOS ARMADURA NEGATIVA CAPEAMENTO 3CM CONCRETO 15MPA ESCORAMENTO MATERIAIS E MAO DE OBRA.</t>
  </si>
  <si>
    <t>IMPERMEABILIZACAO DE CALHAS/LAJES DESCOBERTAS, COM EMULSAO ASFALTICA COM ELASTOMEROS, 3 DEMAOS</t>
  </si>
  <si>
    <t>GAS DE COZINHA - GLP</t>
  </si>
  <si>
    <t>14.12</t>
  </si>
  <si>
    <t>14.13</t>
  </si>
  <si>
    <t>14.14</t>
  </si>
  <si>
    <t>kg</t>
  </si>
  <si>
    <t>74141/002</t>
  </si>
  <si>
    <t>ARMAÇÃO DE PILAR OU VIGA UTILIZANDO AÇO CA-50 DE 8,0 MM</t>
  </si>
  <si>
    <t>CONCRETO FCK = 15MPA, TRAÇO 1:3,4:3,5 (CIMENTO/ AREIA MÉDIA/ BRITA 1)</t>
  </si>
  <si>
    <t>PORTA EM ALUMÍNIO DE ABRIR TIPO VENEZIANA COM GUARNIÇÃO, FIXAÇÃO COM PARAFUSOS</t>
  </si>
  <si>
    <t>LASTRO DE BRITA</t>
  </si>
  <si>
    <t>FORMA TABUA P/ CONCRETO EM FUNDACAO C/ REAPROVEITAMENTO</t>
  </si>
  <si>
    <t>14.15</t>
  </si>
  <si>
    <t>ALVENARIA EM TIJOLO CERAMICO MACICO 5X10X20CM 1/2 VEZ (ESPESSURA 20CM), ASSENTADO COM ARGAMASSA TRACO 1:2:8 (CIMENTO, CAL E AREIA)</t>
  </si>
  <si>
    <t xml:space="preserve">CHAPISCO APLICADO EM ALVENARIAS ARGAMASSA TRAÇO 1:3 </t>
  </si>
  <si>
    <t>EMBOÇO OU MASSA ÚNICA EM ARGAMASSA TRAÇO 1:2:8</t>
  </si>
  <si>
    <t>14.16</t>
  </si>
  <si>
    <t>14.17</t>
  </si>
  <si>
    <t>SECRETARIA DE PLANEJAMENTO, TRÂNSITO, MEIO AMBIENTE, INDÚSTRIA, COMÉRCIO E SERVIÇOS</t>
  </si>
  <si>
    <t>TAPUME DE CHAPA DE MADEIRA COMPENSADA</t>
  </si>
  <si>
    <t>REVESTIMENTO CERÂMICO PARA PAREDES INTERNAS COM PLACAS DE DIMENSÕES 25X35 CM APLICADAS NA ALTURA INTEIRA DAS PAREDES (COZINHA)</t>
  </si>
  <si>
    <t>REVESTIMENTO CERÂMICO PARA PISO DE DIMENSÕES 35X35 CM  (COZINHA E REFEITÓRIO)</t>
  </si>
  <si>
    <t>VERGA MOLDADA IN LOCO EM CONCRETO PARA JANELAS</t>
  </si>
  <si>
    <t>VERGA MOLDADA IN LOCO EM CONCRETO PARA PORTAS</t>
  </si>
  <si>
    <t xml:space="preserve">CONTRAVERGA MOLDADA IN LOCO EM CONCRETO </t>
  </si>
  <si>
    <t>ALVENARIA DE VEDAÇÃO DE BLOCOS CERÂMICOS FURADOS NA VERTICAL (ESPESSURA 9CM)  E ARGAMASSA DE ASSENTAMENTO</t>
  </si>
  <si>
    <t>ALVENARIA DE VEDAÇÃO DE BLOCOS CERÂMICOS FURADOS NA VERTICAL (ESPESSURA 14CM) E ARGAMASSA DE ASSENTAMENTO</t>
  </si>
  <si>
    <t>ÁREA TOTAL = 140,56m²</t>
  </si>
  <si>
    <t>Área Total à Construir = 140,56m²</t>
  </si>
  <si>
    <t>PROTEÇÃO MECÂNICA PARA LAJE IMPERMEABILIZADA (ARGAMASSA COM ESPESSURA 2,0CM)</t>
  </si>
  <si>
    <t>10.4</t>
  </si>
  <si>
    <t>14.18</t>
  </si>
  <si>
    <t>EMBOÇO OU MASSA ÚNICA EM ARGAMASSA TRAÇO 1:2:8, ESPESSURA DE 10 MM</t>
  </si>
  <si>
    <t>*5</t>
  </si>
  <si>
    <t>7.4</t>
  </si>
  <si>
    <t>GRELHA DE VENTILAÇÃO PERMANENTE DE PLÁSTICO</t>
  </si>
  <si>
    <t>PORTA DE CORRER EM ALUMINIO, COM DUAS FOLHAS PARA VIDRO, INCLUSO VIDRO LISO INCOLOR, FECHADURA E PUXADOR</t>
  </si>
  <si>
    <t>PORTA EM ALUMÍNIO DE ABRIR TIPO VENEZIANA</t>
  </si>
  <si>
    <t>PORTA EM ALUMÍNIO DE ABRIR COM TELA MOSQUETEIRO (PORTA DA COZINHA)</t>
  </si>
  <si>
    <t>PISO CIMENTADO</t>
  </si>
  <si>
    <t>COIFA PARA FOGÃO 4 BOCAS COM CHAMINÉ EM CHAPA DE ALUMÍNIO</t>
  </si>
  <si>
    <t>preço cotado</t>
  </si>
  <si>
    <t>PLACA DE OBRA</t>
  </si>
  <si>
    <t>LASTRO COM PREPARO DE FUNDO,  COM CAMADA DE BRITA, LANÇAMENTO MANUAL</t>
  </si>
  <si>
    <t>ARMACAO EM TELA DE ACO SOLDADA NERVURADA Q-92, ACO CA-60, 4,2MM, MALHA 15X15CM</t>
  </si>
  <si>
    <t>2.5</t>
  </si>
  <si>
    <t>2.6</t>
  </si>
  <si>
    <t>CONTRAPISO EM ARGAMASSA TRAÇO 1:4 (CIMENTO E AREIA) ESPESSURA 4CM</t>
  </si>
  <si>
    <t>2.7</t>
  </si>
  <si>
    <t>LASTRO DE CONCRETO MAGRO, ESPESSURA DE 3CM</t>
  </si>
  <si>
    <t>TUBO PVC DN 100 MM</t>
  </si>
  <si>
    <t>FIXAÇÃO DE TUBOS DE PVC COM ABRAÇADEIRA METÁLICA RÍGIDA TIPO D 3"</t>
  </si>
  <si>
    <t xml:space="preserve"> JOELHO 90 GRAUS, PVC, DN 100 MM, JUNTA ELÁSTICA</t>
  </si>
  <si>
    <t>73847/001</t>
  </si>
  <si>
    <t>mês</t>
  </si>
  <si>
    <t>ALUGUEL CONTAINER PARA BARRACÃO DE OBRA</t>
  </si>
  <si>
    <t xml:space="preserve">CHAPISCO ARGAMASSA TRAÇO 1:3 </t>
  </si>
  <si>
    <t>LUMINÁRIA TIPO CALHA, DE SOBREPOR, COM 2 LÂMPADAS TUBULARES DE 36 W</t>
  </si>
  <si>
    <t>FORMA TABUA = 1355 R$ 24,03/M2</t>
  </si>
  <si>
    <r>
      <t xml:space="preserve">Forma = 0,60+0,60+0,60+0,60 = 2,40m/l * 0,30 = 0,72m2 = </t>
    </r>
    <r>
      <rPr>
        <b/>
        <i/>
        <sz val="10"/>
        <rFont val="Arial"/>
        <family val="2"/>
      </rPr>
      <t>R$ 17,30</t>
    </r>
  </si>
  <si>
    <r>
      <t xml:space="preserve">Forma = 1,10+1,10+1,10+1,10 = 4,40m/l * 0,30 = 1,32m2 = </t>
    </r>
    <r>
      <rPr>
        <b/>
        <i/>
        <sz val="10"/>
        <rFont val="Arial"/>
        <family val="2"/>
      </rPr>
      <t>R$ 31,72</t>
    </r>
  </si>
  <si>
    <r>
      <t xml:space="preserve">Forma = 0,15+0,15+0,30+0,30 = 0,9 * 3,00 = 2,7m2 = </t>
    </r>
    <r>
      <rPr>
        <b/>
        <i/>
        <sz val="10"/>
        <rFont val="Arial"/>
        <family val="2"/>
      </rPr>
      <t>2,70m2 * R$ 24,03 = R$ 64,88</t>
    </r>
  </si>
  <si>
    <t>TUBO DE CONCRETO = 12583 - R$ 23,44/M</t>
  </si>
  <si>
    <r>
      <t xml:space="preserve">Tubo de Concreto = 3m * R$ 23,44 = </t>
    </r>
    <r>
      <rPr>
        <b/>
        <i/>
        <sz val="10"/>
        <rFont val="Arial"/>
        <family val="2"/>
      </rPr>
      <t>R$ 70,32</t>
    </r>
  </si>
  <si>
    <r>
      <t xml:space="preserve">Forma = 0,40+0,40 = 0,80m/l * 55m = 44,00m2 * R$ 24,03/m² = </t>
    </r>
    <r>
      <rPr>
        <b/>
        <i/>
        <sz val="10"/>
        <rFont val="Arial"/>
        <family val="2"/>
      </rPr>
      <t>R$ 1.057,32</t>
    </r>
  </si>
  <si>
    <r>
      <t xml:space="preserve">Sarafo p/ segurar forma = 55m / 0,30m = 183,33m * 2 lados = 366,67m/l * 0,05m = 18,33m * R$ 24,03/m² = </t>
    </r>
    <r>
      <rPr>
        <b/>
        <i/>
        <sz val="10"/>
        <rFont val="Arial"/>
        <family val="2"/>
      </rPr>
      <t>R$ 440,47</t>
    </r>
  </si>
  <si>
    <t>LONA PLÁSTICA = 68053 - R$ 5,66/M2</t>
  </si>
  <si>
    <r>
      <t xml:space="preserve">LONA PLÁSTICA = 6 + 110,18 = 116,18M2 * R$ 5,66 = </t>
    </r>
    <r>
      <rPr>
        <b/>
        <i/>
        <sz val="10"/>
        <rFont val="Arial"/>
        <family val="2"/>
      </rPr>
      <t>R$ 657,58</t>
    </r>
  </si>
  <si>
    <t>REFERÊNCIA</t>
  </si>
  <si>
    <t>CÓDIGO</t>
  </si>
  <si>
    <t>QUADRO DE DISTRIBUICAO DE ENERGIA P/ 6 DISJUNTORES TERMOMAGNETICOS MONOPOLARES SEM BARRAMENTO, DE EMBUTIR, EM CHAPA METALICA - FORNECIMENTOE INSTALACA</t>
  </si>
  <si>
    <t>ESTACA BROCA DE CONCRETO, DIÃMETRO DE 20 CM, PROFUNDIDADE DE ATÉ 3 M ESCAVAÇÃO MANUAL COM TRADO CONCHA, NÃO ARMADA.</t>
  </si>
  <si>
    <t>AÇO CA-50 8.0MM = 92761 R$ 8,33/Kg</t>
  </si>
  <si>
    <t>CONCRETO = 94971 - R$ 306,29/M3</t>
  </si>
  <si>
    <r>
      <t>5und.*0,9m = 4,50m = 4,50*0,395 = 1,78Kg =</t>
    </r>
    <r>
      <rPr>
        <b/>
        <i/>
        <sz val="10"/>
        <rFont val="Arial"/>
        <family val="2"/>
      </rPr>
      <t xml:space="preserve"> R$ 14,82</t>
    </r>
  </si>
  <si>
    <r>
      <t xml:space="preserve">Concreto = 0,60*0,60*0,30 = 0,108m3 = </t>
    </r>
    <r>
      <rPr>
        <b/>
        <i/>
        <sz val="10"/>
        <rFont val="Arial"/>
        <family val="2"/>
      </rPr>
      <t>R$ 33,07</t>
    </r>
  </si>
  <si>
    <r>
      <t xml:space="preserve">R$ 14,82 + R$ 14,82 + R$ 33,07 + R$ 17,30 = </t>
    </r>
    <r>
      <rPr>
        <b/>
        <i/>
        <sz val="10"/>
        <rFont val="Arial"/>
        <family val="2"/>
      </rPr>
      <t>R$ 80,01/unid ou R$ 740,83m³</t>
    </r>
  </si>
  <si>
    <r>
      <t>9und.*1,40m = 12,6m = 12,6*0,395 = 4,98Kg =</t>
    </r>
    <r>
      <rPr>
        <b/>
        <i/>
        <sz val="10"/>
        <rFont val="Arial"/>
        <family val="2"/>
      </rPr>
      <t xml:space="preserve"> R$ 41,48</t>
    </r>
  </si>
  <si>
    <r>
      <t xml:space="preserve">Concreto = 1,10*1,10*0,30 = 0,363m3 = </t>
    </r>
    <r>
      <rPr>
        <b/>
        <i/>
        <sz val="10"/>
        <rFont val="Arial"/>
        <family val="2"/>
      </rPr>
      <t>R$ 111,18</t>
    </r>
  </si>
  <si>
    <r>
      <t xml:space="preserve">R$ 41,48 + R$ 41,48 + R$ 111,18 + R$ 31,72 = </t>
    </r>
    <r>
      <rPr>
        <b/>
        <i/>
        <sz val="10"/>
        <rFont val="Arial"/>
        <family val="2"/>
      </rPr>
      <t>R$ 225,86/unid ou R$ 622,20/m³</t>
    </r>
  </si>
  <si>
    <t>AÇO CA-50 10.0MM = 92762 R$ 6,76/Kg</t>
  </si>
  <si>
    <t>AÇO CA-50 6.3MM = 95446 R$ 5,08/Kg</t>
  </si>
  <si>
    <t>CONCRETO = 92718 - R$ 443,95/M3</t>
  </si>
  <si>
    <r>
      <t xml:space="preserve">Total Barras de 10.0mm = 18,00m * 0,617Kg = 11,11Kg = 11,11 * 6,76 = </t>
    </r>
    <r>
      <rPr>
        <b/>
        <i/>
        <sz val="10"/>
        <rFont val="Arial"/>
        <family val="2"/>
      </rPr>
      <t>R$ 75,10</t>
    </r>
  </si>
  <si>
    <r>
      <t xml:space="preserve">Total Barras de 6.3mm = 21m * 0,245Kg = 5,15Kg = 5,15 * 5,08= </t>
    </r>
    <r>
      <rPr>
        <b/>
        <i/>
        <sz val="10"/>
        <rFont val="Arial"/>
        <family val="2"/>
      </rPr>
      <t>R$ 26,16</t>
    </r>
  </si>
  <si>
    <r>
      <t xml:space="preserve">Concreto = 0,135 m3 * 443,95 = </t>
    </r>
    <r>
      <rPr>
        <b/>
        <i/>
        <sz val="10"/>
        <rFont val="Arial"/>
        <family val="2"/>
      </rPr>
      <t>R$ 59,93</t>
    </r>
  </si>
  <si>
    <r>
      <t xml:space="preserve">Total = R$ 75,10 + R$ 26,16 + R$ 59,93 + R$ 64,88 = </t>
    </r>
    <r>
      <rPr>
        <b/>
        <i/>
        <sz val="10"/>
        <rFont val="Arial"/>
        <family val="2"/>
      </rPr>
      <t>R$ 226,07/unid ou R$ 1674,59/m³</t>
    </r>
  </si>
  <si>
    <r>
      <t xml:space="preserve">Total Barras de 6.3mm = 13,23m * 0,245Kg = 3,24Kg = 3,24 * 5,08 = </t>
    </r>
    <r>
      <rPr>
        <b/>
        <i/>
        <sz val="10"/>
        <rFont val="Arial"/>
        <family val="2"/>
      </rPr>
      <t>R$ 16,45</t>
    </r>
  </si>
  <si>
    <r>
      <t xml:space="preserve">Concreto = 0,0942 m3 * 443,95 = </t>
    </r>
    <r>
      <rPr>
        <b/>
        <i/>
        <sz val="10"/>
        <rFont val="Arial"/>
        <family val="2"/>
      </rPr>
      <t>R$ 41,82</t>
    </r>
  </si>
  <si>
    <r>
      <t xml:space="preserve">Total Barras de 10.0mm = 21,00m * 0,617Kg = 12,96Kg = 12,96 * 6,76 = </t>
    </r>
    <r>
      <rPr>
        <b/>
        <i/>
        <sz val="10"/>
        <rFont val="Arial"/>
        <family val="2"/>
      </rPr>
      <t>R$ 87,61</t>
    </r>
  </si>
  <si>
    <r>
      <t xml:space="preserve">Total = R$ 87,61 + R$ 16,45 + R$ 70,32 + R$ 41,82 = </t>
    </r>
    <r>
      <rPr>
        <b/>
        <i/>
        <sz val="10"/>
        <rFont val="Arial"/>
        <family val="2"/>
      </rPr>
      <t>R$ 216,20/unid ou R$ 2295,11/m³</t>
    </r>
  </si>
  <si>
    <r>
      <t xml:space="preserve">Total Barras de 10.0mm = 110,00m * 0,617Kg/m = 67,87Kg = 67,87 * 6,76 = </t>
    </r>
    <r>
      <rPr>
        <b/>
        <i/>
        <sz val="10"/>
        <rFont val="Arial"/>
        <family val="2"/>
      </rPr>
      <t>R$ 458,80</t>
    </r>
  </si>
  <si>
    <r>
      <t xml:space="preserve">Total Barras de 8.0mm = 110,00m * 0,395Kg/m = 43,45Kg = 43,45 * 8,33 = </t>
    </r>
    <r>
      <rPr>
        <b/>
        <i/>
        <sz val="10"/>
        <rFont val="Arial"/>
        <family val="2"/>
      </rPr>
      <t>R$ 361,94</t>
    </r>
  </si>
  <si>
    <r>
      <t xml:space="preserve">Concreto = 0,15*0,40*55 = 3,3m3 * R$ 306,29m³ = </t>
    </r>
    <r>
      <rPr>
        <b/>
        <i/>
        <sz val="10"/>
        <rFont val="Arial"/>
        <family val="2"/>
      </rPr>
      <t>R$ 1.010,75</t>
    </r>
  </si>
  <si>
    <r>
      <t xml:space="preserve">Total = R$ 458,80 + R$ 361,94 + R$ 1010,75 + R$ 1057,32 + R$ 440,47 = </t>
    </r>
    <r>
      <rPr>
        <b/>
        <i/>
        <sz val="10"/>
        <rFont val="Arial"/>
        <family val="2"/>
      </rPr>
      <t>R$ 3.329,28/unid ou R$ 1.008,87m³</t>
    </r>
  </si>
  <si>
    <t>BRITA Nº4 = 6514 - R$ 101,05/M3</t>
  </si>
  <si>
    <t>TELA DE 4.2MM = 85662 - R$ 9,44/M2</t>
  </si>
  <si>
    <t>PISO CIMENTADO = 73922/004 - R$ 45,33/M2</t>
  </si>
  <si>
    <r>
      <t xml:space="preserve">BRITA Nº4 = 5CM = 0,05M * (6 + 110,18)M2 = 5,81M3 * R$ 101,05 = </t>
    </r>
    <r>
      <rPr>
        <b/>
        <i/>
        <sz val="10"/>
        <rFont val="Arial"/>
        <family val="2"/>
      </rPr>
      <t>R$ 587,10</t>
    </r>
  </si>
  <si>
    <r>
      <t xml:space="preserve">TELA DE 4.2MM = 6 + 110,18 = 116,18M2 * R$ 9,44 = </t>
    </r>
    <r>
      <rPr>
        <b/>
        <i/>
        <sz val="10"/>
        <rFont val="Arial"/>
        <family val="2"/>
      </rPr>
      <t>R$ 1.096,73</t>
    </r>
  </si>
  <si>
    <r>
      <t xml:space="preserve">CONCRETO = 6CM = 0,06M * (6 + 110,18)M2 = 6,97M3 * R$ 306,29 = </t>
    </r>
    <r>
      <rPr>
        <b/>
        <i/>
        <sz val="10"/>
        <rFont val="Arial"/>
        <family val="2"/>
      </rPr>
      <t>R$ 2.134,84</t>
    </r>
  </si>
  <si>
    <r>
      <t xml:space="preserve">PISO CIMENTADO = 6 + 110,18 = 116,18M2 * R$45,33 = </t>
    </r>
    <r>
      <rPr>
        <b/>
        <i/>
        <sz val="10"/>
        <rFont val="Arial"/>
        <family val="2"/>
      </rPr>
      <t>R$ 5.266,44</t>
    </r>
  </si>
  <si>
    <r>
      <t xml:space="preserve">Total = R$ 587,10 + R$ 1096,73 + R$ 657,58 + R$ 2134,84 + R$ 5266,44 = </t>
    </r>
    <r>
      <rPr>
        <b/>
        <i/>
        <sz val="10"/>
        <rFont val="Arial"/>
        <family val="2"/>
      </rPr>
      <t>R$ 9.742,69/unid ou R$ 83,86m²</t>
    </r>
  </si>
  <si>
    <t>OBS: SINAPI 03/18 Sem Desoneração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</si>
</sst>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#,##0.00"/>
    <numFmt numFmtId="167" formatCode="&quot;R$&quot;\ #,##0.00"/>
    <numFmt numFmtId="168" formatCode="0.0%"/>
  </numFmts>
  <fonts count="3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6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1"/>
      <name val="Times New Roman"/>
      <family val="1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10"/>
      <color indexed="10"/>
      <name val="Arial"/>
      <family val="2"/>
    </font>
    <font>
      <sz val="8"/>
      <name val="Trebuchet MS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27" fillId="0" borderId="0" applyFont="0" applyFill="0" applyBorder="0" applyAlignment="0" applyProtection="0"/>
  </cellStyleXfs>
  <cellXfs count="311">
    <xf numFmtId="0" fontId="0" fillId="0" borderId="0" xfId="0"/>
    <xf numFmtId="0" fontId="2" fillId="0" borderId="0" xfId="0" applyFont="1"/>
    <xf numFmtId="165" fontId="6" fillId="0" borderId="2" xfId="1" applyFont="1" applyBorder="1"/>
    <xf numFmtId="0" fontId="6" fillId="0" borderId="2" xfId="0" applyFont="1" applyBorder="1" applyAlignment="1">
      <alignment horizontal="right"/>
    </xf>
    <xf numFmtId="10" fontId="6" fillId="0" borderId="2" xfId="2" applyNumberFormat="1" applyFont="1" applyBorder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165" fontId="4" fillId="0" borderId="1" xfId="1" applyFont="1" applyBorder="1"/>
    <xf numFmtId="10" fontId="4" fillId="0" borderId="3" xfId="2" applyNumberFormat="1" applyFont="1" applyBorder="1" applyAlignment="1">
      <alignment horizontal="right"/>
    </xf>
    <xf numFmtId="0" fontId="7" fillId="0" borderId="0" xfId="0" applyFont="1" applyFill="1"/>
    <xf numFmtId="166" fontId="6" fillId="0" borderId="4" xfId="0" applyNumberFormat="1" applyFont="1" applyFill="1" applyBorder="1" applyAlignment="1">
      <alignment horizontal="center"/>
    </xf>
    <xf numFmtId="164" fontId="4" fillId="0" borderId="0" xfId="3" applyFont="1" applyBorder="1" applyAlignment="1">
      <alignment horizontal="center"/>
    </xf>
    <xf numFmtId="164" fontId="4" fillId="0" borderId="0" xfId="3" applyFont="1" applyFill="1" applyBorder="1"/>
    <xf numFmtId="164" fontId="4" fillId="0" borderId="0" xfId="3" applyFont="1" applyBorder="1"/>
    <xf numFmtId="0" fontId="8" fillId="0" borderId="0" xfId="0" applyFont="1" applyBorder="1"/>
    <xf numFmtId="165" fontId="3" fillId="0" borderId="0" xfId="1" applyFont="1" applyBorder="1"/>
    <xf numFmtId="0" fontId="6" fillId="0" borderId="6" xfId="0" applyFont="1" applyFill="1" applyBorder="1" applyAlignment="1">
      <alignment horizontal="center"/>
    </xf>
    <xf numFmtId="166" fontId="6" fillId="0" borderId="7" xfId="0" applyNumberFormat="1" applyFont="1" applyFill="1" applyBorder="1" applyAlignment="1">
      <alignment horizontal="center"/>
    </xf>
    <xf numFmtId="164" fontId="10" fillId="0" borderId="0" xfId="3" applyFont="1" applyBorder="1"/>
    <xf numFmtId="164" fontId="4" fillId="0" borderId="0" xfId="3" applyFont="1" applyFill="1" applyBorder="1" applyAlignment="1">
      <alignment horizontal="center"/>
    </xf>
    <xf numFmtId="164" fontId="4" fillId="0" borderId="8" xfId="3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10" fillId="0" borderId="0" xfId="3" applyFont="1" applyFill="1" applyBorder="1"/>
    <xf numFmtId="164" fontId="8" fillId="0" borderId="0" xfId="0" applyNumberFormat="1" applyFont="1" applyBorder="1" applyAlignment="1">
      <alignment horizontal="center"/>
    </xf>
    <xf numFmtId="164" fontId="4" fillId="0" borderId="2" xfId="3" applyFont="1" applyBorder="1" applyAlignment="1">
      <alignment horizontal="center"/>
    </xf>
    <xf numFmtId="9" fontId="6" fillId="0" borderId="6" xfId="2" applyFont="1" applyFill="1" applyBorder="1" applyAlignment="1">
      <alignment horizontal="center"/>
    </xf>
    <xf numFmtId="9" fontId="4" fillId="0" borderId="3" xfId="2" applyFont="1" applyBorder="1" applyAlignment="1">
      <alignment horizontal="center"/>
    </xf>
    <xf numFmtId="9" fontId="4" fillId="0" borderId="2" xfId="2" applyFont="1" applyBorder="1" applyAlignment="1">
      <alignment horizontal="center"/>
    </xf>
    <xf numFmtId="9" fontId="4" fillId="0" borderId="0" xfId="2" applyFont="1" applyBorder="1" applyAlignment="1">
      <alignment horizontal="center"/>
    </xf>
    <xf numFmtId="9" fontId="8" fillId="0" borderId="0" xfId="2" applyFont="1" applyBorder="1" applyAlignment="1">
      <alignment horizontal="center"/>
    </xf>
    <xf numFmtId="9" fontId="8" fillId="0" borderId="0" xfId="2" applyFont="1" applyAlignment="1">
      <alignment horizontal="center"/>
    </xf>
    <xf numFmtId="9" fontId="2" fillId="0" borderId="0" xfId="2" applyFont="1" applyAlignment="1">
      <alignment horizontal="center"/>
    </xf>
    <xf numFmtId="9" fontId="4" fillId="0" borderId="0" xfId="2" applyFont="1" applyFill="1" applyBorder="1" applyAlignment="1">
      <alignment horizontal="center"/>
    </xf>
    <xf numFmtId="164" fontId="12" fillId="0" borderId="9" xfId="0" applyNumberFormat="1" applyFont="1" applyBorder="1"/>
    <xf numFmtId="9" fontId="12" fillId="0" borderId="10" xfId="0" applyNumberFormat="1" applyFont="1" applyBorder="1"/>
    <xf numFmtId="0" fontId="12" fillId="0" borderId="0" xfId="0" applyFont="1" applyBorder="1"/>
    <xf numFmtId="165" fontId="10" fillId="0" borderId="11" xfId="1" applyFont="1" applyBorder="1"/>
    <xf numFmtId="165" fontId="4" fillId="0" borderId="12" xfId="1" applyFont="1" applyBorder="1"/>
    <xf numFmtId="0" fontId="2" fillId="0" borderId="12" xfId="0" applyFont="1" applyBorder="1"/>
    <xf numFmtId="0" fontId="5" fillId="0" borderId="12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2" fillId="0" borderId="14" xfId="0" applyFont="1" applyBorder="1"/>
    <xf numFmtId="9" fontId="2" fillId="0" borderId="14" xfId="2" applyFont="1" applyBorder="1" applyAlignment="1">
      <alignment horizontal="center"/>
    </xf>
    <xf numFmtId="0" fontId="8" fillId="0" borderId="15" xfId="0" applyFont="1" applyBorder="1"/>
    <xf numFmtId="165" fontId="3" fillId="0" borderId="12" xfId="1" applyFont="1" applyBorder="1"/>
    <xf numFmtId="0" fontId="14" fillId="0" borderId="0" xfId="0" applyFont="1"/>
    <xf numFmtId="164" fontId="4" fillId="0" borderId="2" xfId="3" applyFont="1" applyBorder="1"/>
    <xf numFmtId="9" fontId="4" fillId="0" borderId="2" xfId="2" applyFont="1" applyBorder="1"/>
    <xf numFmtId="0" fontId="7" fillId="0" borderId="2" xfId="0" applyFont="1" applyBorder="1"/>
    <xf numFmtId="9" fontId="8" fillId="0" borderId="12" xfId="2" applyFont="1" applyBorder="1" applyAlignment="1">
      <alignment horizontal="center"/>
    </xf>
    <xf numFmtId="9" fontId="10" fillId="0" borderId="0" xfId="2" applyFont="1" applyFill="1" applyBorder="1" applyAlignment="1">
      <alignment horizontal="center"/>
    </xf>
    <xf numFmtId="9" fontId="10" fillId="0" borderId="0" xfId="2" applyFont="1" applyBorder="1" applyAlignment="1">
      <alignment horizontal="center"/>
    </xf>
    <xf numFmtId="9" fontId="5" fillId="0" borderId="12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0" fontId="4" fillId="0" borderId="8" xfId="1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4" fillId="2" borderId="2" xfId="3" applyFont="1" applyFill="1" applyBorder="1" applyAlignment="1">
      <alignment horizontal="center"/>
    </xf>
    <xf numFmtId="9" fontId="4" fillId="2" borderId="2" xfId="2" applyFont="1" applyFill="1" applyBorder="1" applyAlignment="1">
      <alignment horizontal="center"/>
    </xf>
    <xf numFmtId="164" fontId="13" fillId="2" borderId="2" xfId="0" applyNumberFormat="1" applyFont="1" applyFill="1" applyBorder="1"/>
    <xf numFmtId="0" fontId="3" fillId="0" borderId="12" xfId="0" applyFont="1" applyBorder="1"/>
    <xf numFmtId="0" fontId="6" fillId="0" borderId="5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165" fontId="10" fillId="0" borderId="16" xfId="1" applyFont="1" applyBorder="1"/>
    <xf numFmtId="165" fontId="11" fillId="0" borderId="14" xfId="1" applyFont="1" applyBorder="1"/>
    <xf numFmtId="165" fontId="4" fillId="0" borderId="14" xfId="1" applyFont="1" applyBorder="1"/>
    <xf numFmtId="165" fontId="6" fillId="0" borderId="14" xfId="1" applyFont="1" applyBorder="1"/>
    <xf numFmtId="0" fontId="5" fillId="0" borderId="14" xfId="0" applyFont="1" applyBorder="1"/>
    <xf numFmtId="9" fontId="5" fillId="0" borderId="14" xfId="2" applyFont="1" applyBorder="1" applyAlignment="1">
      <alignment horizontal="center"/>
    </xf>
    <xf numFmtId="9" fontId="8" fillId="0" borderId="14" xfId="2" applyFont="1" applyBorder="1" applyAlignment="1">
      <alignment horizontal="center"/>
    </xf>
    <xf numFmtId="0" fontId="15" fillId="2" borderId="2" xfId="0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3" applyFont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4" fontId="5" fillId="0" borderId="0" xfId="3" applyFont="1" applyBorder="1"/>
    <xf numFmtId="0" fontId="19" fillId="0" borderId="11" xfId="0" applyFont="1" applyBorder="1"/>
    <xf numFmtId="0" fontId="5" fillId="0" borderId="12" xfId="0" applyFont="1" applyBorder="1" applyAlignment="1">
      <alignment horizontal="center"/>
    </xf>
    <xf numFmtId="164" fontId="20" fillId="0" borderId="12" xfId="3" applyFont="1" applyBorder="1" applyAlignment="1">
      <alignment horizontal="left"/>
    </xf>
    <xf numFmtId="164" fontId="20" fillId="0" borderId="13" xfId="3" applyFont="1" applyBorder="1" applyAlignment="1">
      <alignment horizontal="left"/>
    </xf>
    <xf numFmtId="164" fontId="20" fillId="0" borderId="0" xfId="3" applyFont="1" applyBorder="1" applyAlignment="1">
      <alignment horizontal="left"/>
    </xf>
    <xf numFmtId="0" fontId="19" fillId="0" borderId="17" xfId="0" applyFont="1" applyBorder="1"/>
    <xf numFmtId="0" fontId="16" fillId="0" borderId="0" xfId="0" applyFont="1" applyBorder="1" applyAlignment="1">
      <alignment horizontal="left"/>
    </xf>
    <xf numFmtId="164" fontId="20" fillId="0" borderId="0" xfId="3" applyFont="1" applyBorder="1" applyAlignment="1">
      <alignment horizontal="right"/>
    </xf>
    <xf numFmtId="164" fontId="20" fillId="0" borderId="18" xfId="3" applyFont="1" applyBorder="1" applyAlignment="1">
      <alignment horizontal="right"/>
    </xf>
    <xf numFmtId="164" fontId="5" fillId="0" borderId="0" xfId="0" applyNumberFormat="1" applyFont="1" applyBorder="1"/>
    <xf numFmtId="164" fontId="12" fillId="0" borderId="0" xfId="3" applyNumberFormat="1" applyFont="1" applyBorder="1"/>
    <xf numFmtId="0" fontId="5" fillId="0" borderId="0" xfId="0" applyFont="1" applyFill="1"/>
    <xf numFmtId="0" fontId="5" fillId="0" borderId="0" xfId="0" applyFont="1" applyFill="1" applyBorder="1"/>
    <xf numFmtId="164" fontId="12" fillId="0" borderId="0" xfId="3" applyFont="1" applyBorder="1"/>
    <xf numFmtId="164" fontId="5" fillId="0" borderId="0" xfId="0" applyNumberFormat="1" applyFont="1" applyFill="1" applyBorder="1"/>
    <xf numFmtId="164" fontId="12" fillId="0" borderId="0" xfId="3" applyFont="1" applyFill="1" applyBorder="1"/>
    <xf numFmtId="164" fontId="19" fillId="0" borderId="5" xfId="3" applyFont="1" applyFill="1" applyBorder="1" applyAlignment="1">
      <alignment horizontal="center"/>
    </xf>
    <xf numFmtId="0" fontId="22" fillId="0" borderId="0" xfId="0" applyFont="1"/>
    <xf numFmtId="164" fontId="12" fillId="0" borderId="0" xfId="3" applyFont="1"/>
    <xf numFmtId="165" fontId="3" fillId="2" borderId="2" xfId="1" applyFont="1" applyFill="1" applyBorder="1"/>
    <xf numFmtId="9" fontId="3" fillId="2" borderId="2" xfId="2" applyFont="1" applyFill="1" applyBorder="1"/>
    <xf numFmtId="0" fontId="2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justify" vertical="justify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justify" vertical="justify"/>
    </xf>
    <xf numFmtId="0" fontId="12" fillId="0" borderId="0" xfId="0" applyFont="1" applyBorder="1" applyAlignment="1">
      <alignment horizontal="justify"/>
    </xf>
    <xf numFmtId="164" fontId="13" fillId="0" borderId="0" xfId="3" applyFont="1" applyBorder="1"/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justify" vertical="justify"/>
    </xf>
    <xf numFmtId="0" fontId="5" fillId="0" borderId="2" xfId="0" applyFont="1" applyBorder="1" applyAlignment="1">
      <alignment horizontal="center"/>
    </xf>
    <xf numFmtId="164" fontId="5" fillId="0" borderId="2" xfId="3" applyFont="1" applyBorder="1"/>
    <xf numFmtId="164" fontId="12" fillId="0" borderId="2" xfId="3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justify" vertical="justify"/>
    </xf>
    <xf numFmtId="0" fontId="12" fillId="0" borderId="2" xfId="0" applyFont="1" applyBorder="1" applyAlignment="1">
      <alignment horizontal="justify"/>
    </xf>
    <xf numFmtId="0" fontId="13" fillId="0" borderId="2" xfId="0" applyFont="1" applyFill="1" applyBorder="1" applyAlignment="1">
      <alignment horizontal="right" vertical="justify"/>
    </xf>
    <xf numFmtId="164" fontId="12" fillId="0" borderId="2" xfId="3" applyFont="1" applyFill="1" applyBorder="1"/>
    <xf numFmtId="0" fontId="18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top"/>
    </xf>
    <xf numFmtId="0" fontId="18" fillId="2" borderId="2" xfId="0" applyFont="1" applyFill="1" applyBorder="1" applyAlignment="1">
      <alignment horizontal="right" vertical="justify"/>
    </xf>
    <xf numFmtId="164" fontId="12" fillId="0" borderId="22" xfId="3" applyFont="1" applyFill="1" applyBorder="1" applyAlignment="1">
      <alignment horizontal="center"/>
    </xf>
    <xf numFmtId="164" fontId="5" fillId="0" borderId="0" xfId="3" applyFont="1" applyBorder="1" applyAlignment="1">
      <alignment horizontal="left"/>
    </xf>
    <xf numFmtId="164" fontId="5" fillId="0" borderId="0" xfId="3" applyNumberFormat="1" applyFont="1" applyBorder="1"/>
    <xf numFmtId="0" fontId="18" fillId="0" borderId="2" xfId="0" applyFont="1" applyFill="1" applyBorder="1" applyAlignment="1">
      <alignment horizontal="center"/>
    </xf>
    <xf numFmtId="164" fontId="13" fillId="0" borderId="2" xfId="3" applyFont="1" applyBorder="1"/>
    <xf numFmtId="0" fontId="18" fillId="0" borderId="0" xfId="0" applyFont="1" applyFill="1"/>
    <xf numFmtId="164" fontId="18" fillId="0" borderId="0" xfId="3" applyNumberFormat="1" applyFont="1" applyBorder="1"/>
    <xf numFmtId="164" fontId="13" fillId="0" borderId="0" xfId="3" applyNumberFormat="1" applyFont="1" applyBorder="1"/>
    <xf numFmtId="0" fontId="18" fillId="0" borderId="0" xfId="0" applyFont="1"/>
    <xf numFmtId="164" fontId="18" fillId="0" borderId="0" xfId="3" applyFont="1" applyBorder="1"/>
    <xf numFmtId="164" fontId="18" fillId="0" borderId="2" xfId="3" applyFont="1" applyBorder="1"/>
    <xf numFmtId="0" fontId="12" fillId="0" borderId="2" xfId="0" applyFont="1" applyBorder="1" applyAlignment="1">
      <alignment horizontal="center" wrapText="1"/>
    </xf>
    <xf numFmtId="164" fontId="12" fillId="0" borderId="2" xfId="0" applyNumberFormat="1" applyFont="1" applyBorder="1"/>
    <xf numFmtId="164" fontId="6" fillId="0" borderId="2" xfId="3" applyFont="1" applyBorder="1"/>
    <xf numFmtId="164" fontId="5" fillId="3" borderId="0" xfId="3" applyFont="1" applyFill="1"/>
    <xf numFmtId="164" fontId="5" fillId="3" borderId="0" xfId="3" applyFont="1" applyFill="1" applyBorder="1"/>
    <xf numFmtId="164" fontId="20" fillId="3" borderId="12" xfId="3" applyFont="1" applyFill="1" applyBorder="1" applyAlignment="1">
      <alignment horizontal="left"/>
    </xf>
    <xf numFmtId="164" fontId="20" fillId="3" borderId="0" xfId="3" applyFont="1" applyFill="1" applyBorder="1" applyAlignment="1">
      <alignment horizontal="right"/>
    </xf>
    <xf numFmtId="164" fontId="19" fillId="3" borderId="19" xfId="3" applyFont="1" applyFill="1" applyBorder="1" applyAlignment="1">
      <alignment horizontal="center"/>
    </xf>
    <xf numFmtId="164" fontId="12" fillId="3" borderId="19" xfId="3" applyFont="1" applyFill="1" applyBorder="1" applyAlignment="1">
      <alignment horizontal="center"/>
    </xf>
    <xf numFmtId="164" fontId="12" fillId="3" borderId="2" xfId="3" applyFont="1" applyFill="1" applyBorder="1" applyAlignment="1">
      <alignment horizontal="center"/>
    </xf>
    <xf numFmtId="164" fontId="13" fillId="3" borderId="2" xfId="3" applyFont="1" applyFill="1" applyBorder="1" applyAlignment="1">
      <alignment horizontal="center"/>
    </xf>
    <xf numFmtId="164" fontId="12" fillId="3" borderId="2" xfId="3" applyFont="1" applyFill="1" applyBorder="1"/>
    <xf numFmtId="164" fontId="12" fillId="3" borderId="0" xfId="3" applyFont="1" applyFill="1" applyBorder="1" applyAlignment="1">
      <alignment horizontal="center"/>
    </xf>
    <xf numFmtId="2" fontId="12" fillId="3" borderId="0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1" fillId="0" borderId="0" xfId="0" applyFont="1"/>
    <xf numFmtId="164" fontId="1" fillId="0" borderId="0" xfId="3" applyNumberFormat="1" applyFont="1" applyBorder="1"/>
    <xf numFmtId="0" fontId="12" fillId="0" borderId="2" xfId="0" applyFont="1" applyFill="1" applyBorder="1" applyAlignment="1">
      <alignment horizontal="left" vertical="justify"/>
    </xf>
    <xf numFmtId="0" fontId="24" fillId="0" borderId="0" xfId="0" applyFont="1" applyFill="1"/>
    <xf numFmtId="164" fontId="24" fillId="0" borderId="0" xfId="3" applyNumberFormat="1" applyFont="1" applyBorder="1"/>
    <xf numFmtId="0" fontId="1" fillId="0" borderId="0" xfId="0" applyFont="1" applyBorder="1"/>
    <xf numFmtId="0" fontId="12" fillId="0" borderId="2" xfId="0" applyFont="1" applyFill="1" applyBorder="1" applyAlignment="1">
      <alignment horizontal="justify" vertical="justify" wrapText="1"/>
    </xf>
    <xf numFmtId="0" fontId="12" fillId="0" borderId="2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/>
    <xf numFmtId="0" fontId="1" fillId="0" borderId="0" xfId="3" applyNumberFormat="1" applyFont="1" applyBorder="1"/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7" fillId="3" borderId="2" xfId="0" applyFont="1" applyFill="1" applyBorder="1" applyAlignment="1">
      <alignment horizontal="justify" vertical="justify"/>
    </xf>
    <xf numFmtId="0" fontId="1" fillId="0" borderId="0" xfId="0" applyFont="1" applyAlignment="1">
      <alignment horizontal="center"/>
    </xf>
    <xf numFmtId="0" fontId="12" fillId="0" borderId="2" xfId="0" applyFont="1" applyFill="1" applyBorder="1" applyAlignment="1">
      <alignment horizontal="justify" vertical="justify"/>
    </xf>
    <xf numFmtId="0" fontId="7" fillId="0" borderId="2" xfId="0" applyFont="1" applyBorder="1" applyAlignment="1">
      <alignment horizontal="justify" vertical="justify"/>
    </xf>
    <xf numFmtId="164" fontId="1" fillId="3" borderId="0" xfId="3" applyFont="1" applyFill="1"/>
    <xf numFmtId="0" fontId="12" fillId="4" borderId="0" xfId="0" applyFont="1" applyFill="1"/>
    <xf numFmtId="0" fontId="12" fillId="0" borderId="2" xfId="0" applyFont="1" applyBorder="1" applyAlignment="1">
      <alignment horizontal="justify" vertical="top" shrinkToFit="1"/>
    </xf>
    <xf numFmtId="0" fontId="12" fillId="0" borderId="2" xfId="0" applyFont="1" applyBorder="1" applyAlignment="1">
      <alignment horizontal="center" vertical="center" shrinkToFit="1"/>
    </xf>
    <xf numFmtId="164" fontId="12" fillId="4" borderId="0" xfId="3" applyFont="1" applyFill="1" applyBorder="1"/>
    <xf numFmtId="0" fontId="12" fillId="0" borderId="0" xfId="0" applyFont="1" applyFill="1" applyBorder="1"/>
    <xf numFmtId="0" fontId="25" fillId="4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 applyBorder="1" applyAlignment="1"/>
    <xf numFmtId="164" fontId="1" fillId="0" borderId="0" xfId="3" applyFont="1" applyFill="1" applyAlignment="1"/>
    <xf numFmtId="164" fontId="23" fillId="0" borderId="0" xfId="3" applyFont="1" applyFill="1" applyBorder="1" applyAlignment="1">
      <alignment horizontal="center"/>
    </xf>
    <xf numFmtId="164" fontId="18" fillId="2" borderId="2" xfId="3" applyFont="1" applyFill="1" applyBorder="1" applyAlignment="1">
      <alignment horizontal="right" vertical="justify"/>
    </xf>
    <xf numFmtId="0" fontId="13" fillId="0" borderId="0" xfId="0" applyFont="1" applyAlignment="1">
      <alignment vertical="center" wrapText="1"/>
    </xf>
    <xf numFmtId="164" fontId="12" fillId="0" borderId="2" xfId="3" applyFont="1" applyFill="1" applyBorder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164" fontId="1" fillId="3" borderId="0" xfId="3" applyFont="1" applyFill="1" applyBorder="1"/>
    <xf numFmtId="167" fontId="12" fillId="0" borderId="0" xfId="0" applyNumberFormat="1" applyFont="1" applyBorder="1"/>
    <xf numFmtId="167" fontId="13" fillId="0" borderId="0" xfId="0" applyNumberFormat="1" applyFont="1" applyBorder="1" applyAlignment="1">
      <alignment horizontal="center"/>
    </xf>
    <xf numFmtId="164" fontId="5" fillId="0" borderId="0" xfId="3" applyNumberFormat="1" applyFont="1" applyFill="1" applyBorder="1"/>
    <xf numFmtId="167" fontId="12" fillId="0" borderId="0" xfId="0" applyNumberFormat="1" applyFont="1" applyBorder="1" applyAlignment="1">
      <alignment horizontal="right"/>
    </xf>
    <xf numFmtId="167" fontId="13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44" fontId="12" fillId="0" borderId="0" xfId="5" applyFont="1" applyBorder="1" applyAlignment="1">
      <alignment horizontal="center"/>
    </xf>
    <xf numFmtId="44" fontId="12" fillId="0" borderId="0" xfId="5" applyFont="1" applyFill="1" applyBorder="1"/>
    <xf numFmtId="44" fontId="13" fillId="0" borderId="0" xfId="5" applyFont="1" applyBorder="1" applyAlignment="1">
      <alignment horizontal="center"/>
    </xf>
    <xf numFmtId="44" fontId="12" fillId="0" borderId="0" xfId="5" applyFont="1" applyAlignment="1">
      <alignment horizontal="center"/>
    </xf>
    <xf numFmtId="164" fontId="12" fillId="0" borderId="0" xfId="3" applyFont="1" applyFill="1" applyBorder="1" applyAlignment="1">
      <alignment horizontal="center"/>
    </xf>
    <xf numFmtId="164" fontId="12" fillId="3" borderId="0" xfId="3" applyFont="1" applyFill="1" applyBorder="1"/>
    <xf numFmtId="167" fontId="13" fillId="0" borderId="0" xfId="5" applyNumberFormat="1" applyFont="1" applyBorder="1" applyAlignment="1">
      <alignment horizontal="right"/>
    </xf>
    <xf numFmtId="168" fontId="4" fillId="0" borderId="2" xfId="2" applyNumberFormat="1" applyFont="1" applyBorder="1" applyAlignment="1">
      <alignment horizontal="center"/>
    </xf>
    <xf numFmtId="44" fontId="13" fillId="0" borderId="0" xfId="0" applyNumberFormat="1" applyFont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164" fontId="13" fillId="0" borderId="0" xfId="3" applyFont="1"/>
    <xf numFmtId="0" fontId="13" fillId="0" borderId="0" xfId="0" applyFont="1" applyBorder="1" applyAlignment="1">
      <alignment horizontal="left"/>
    </xf>
    <xf numFmtId="0" fontId="12" fillId="0" borderId="2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1" fillId="0" borderId="2" xfId="0" applyFont="1" applyFill="1" applyBorder="1" applyAlignment="1">
      <alignment horizontal="left" wrapText="1"/>
    </xf>
    <xf numFmtId="0" fontId="21" fillId="0" borderId="23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/>
    </xf>
    <xf numFmtId="164" fontId="1" fillId="0" borderId="2" xfId="3" applyFont="1" applyFill="1" applyBorder="1"/>
    <xf numFmtId="0" fontId="4" fillId="0" borderId="17" xfId="1" applyNumberFormat="1" applyFont="1" applyBorder="1" applyAlignment="1">
      <alignment horizontal="center"/>
    </xf>
    <xf numFmtId="165" fontId="4" fillId="0" borderId="0" xfId="1" applyFont="1" applyBorder="1"/>
    <xf numFmtId="9" fontId="4" fillId="0" borderId="18" xfId="2" applyFont="1" applyBorder="1" applyAlignment="1">
      <alignment horizontal="center"/>
    </xf>
    <xf numFmtId="9" fontId="12" fillId="0" borderId="18" xfId="0" applyNumberFormat="1" applyFont="1" applyBorder="1"/>
    <xf numFmtId="164" fontId="4" fillId="0" borderId="24" xfId="3" applyFont="1" applyBorder="1" applyAlignment="1">
      <alignment horizontal="center"/>
    </xf>
    <xf numFmtId="165" fontId="4" fillId="0" borderId="25" xfId="1" applyFont="1" applyBorder="1"/>
    <xf numFmtId="9" fontId="12" fillId="0" borderId="0" xfId="0" applyNumberFormat="1" applyFont="1" applyFill="1"/>
    <xf numFmtId="10" fontId="5" fillId="0" borderId="0" xfId="2" applyNumberFormat="1" applyFont="1"/>
    <xf numFmtId="0" fontId="12" fillId="0" borderId="22" xfId="0" applyFont="1" applyBorder="1" applyAlignment="1">
      <alignment horizontal="center"/>
    </xf>
    <xf numFmtId="0" fontId="12" fillId="0" borderId="22" xfId="0" applyFont="1" applyFill="1" applyBorder="1" applyAlignment="1">
      <alignment horizontal="left" vertical="justify"/>
    </xf>
    <xf numFmtId="164" fontId="12" fillId="0" borderId="22" xfId="3" applyFont="1" applyFill="1" applyBorder="1"/>
    <xf numFmtId="164" fontId="12" fillId="3" borderId="22" xfId="3" applyFont="1" applyFill="1" applyBorder="1"/>
    <xf numFmtId="164" fontId="12" fillId="0" borderId="22" xfId="3" applyFont="1" applyBorder="1"/>
    <xf numFmtId="0" fontId="12" fillId="0" borderId="5" xfId="0" applyFont="1" applyBorder="1" applyAlignment="1">
      <alignment horizontal="center" wrapText="1"/>
    </xf>
    <xf numFmtId="164" fontId="12" fillId="0" borderId="5" xfId="3" applyFont="1" applyFill="1" applyBorder="1" applyAlignment="1">
      <alignment wrapText="1"/>
    </xf>
    <xf numFmtId="164" fontId="12" fillId="3" borderId="5" xfId="3" applyFont="1" applyFill="1" applyBorder="1" applyAlignment="1">
      <alignment horizontal="center" wrapText="1"/>
    </xf>
    <xf numFmtId="164" fontId="12" fillId="3" borderId="5" xfId="3" applyFont="1" applyFill="1" applyBorder="1"/>
    <xf numFmtId="164" fontId="12" fillId="0" borderId="5" xfId="3" applyFont="1" applyBorder="1"/>
    <xf numFmtId="0" fontId="12" fillId="0" borderId="19" xfId="0" applyFont="1" applyBorder="1" applyAlignment="1">
      <alignment horizontal="center"/>
    </xf>
    <xf numFmtId="164" fontId="12" fillId="0" borderId="20" xfId="3" applyFont="1" applyFill="1" applyBorder="1"/>
    <xf numFmtId="164" fontId="12" fillId="3" borderId="20" xfId="3" applyFont="1" applyFill="1" applyBorder="1" applyAlignment="1">
      <alignment horizontal="center"/>
    </xf>
    <xf numFmtId="164" fontId="12" fillId="3" borderId="20" xfId="3" applyFont="1" applyFill="1" applyBorder="1"/>
    <xf numFmtId="0" fontId="12" fillId="4" borderId="29" xfId="0" applyFont="1" applyFill="1" applyBorder="1"/>
    <xf numFmtId="164" fontId="12" fillId="0" borderId="29" xfId="3" applyFont="1" applyBorder="1"/>
    <xf numFmtId="0" fontId="12" fillId="3" borderId="0" xfId="0" applyFont="1" applyFill="1"/>
    <xf numFmtId="164" fontId="29" fillId="0" borderId="0" xfId="3" applyNumberFormat="1" applyFont="1"/>
    <xf numFmtId="164" fontId="12" fillId="3" borderId="5" xfId="3" applyFont="1" applyFill="1" applyBorder="1" applyAlignment="1">
      <alignment horizontal="center"/>
    </xf>
    <xf numFmtId="0" fontId="12" fillId="0" borderId="2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30" fillId="0" borderId="2" xfId="0" applyFont="1" applyFill="1" applyBorder="1" applyAlignment="1">
      <alignment horizontal="justify" vertical="justify"/>
    </xf>
    <xf numFmtId="0" fontId="12" fillId="0" borderId="0" xfId="0" applyFont="1" applyFill="1" applyBorder="1" applyAlignment="1">
      <alignment horizontal="justify" vertical="justify"/>
    </xf>
    <xf numFmtId="164" fontId="18" fillId="0" borderId="0" xfId="3" applyNumberFormat="1" applyFont="1" applyFill="1" applyBorder="1"/>
    <xf numFmtId="0" fontId="31" fillId="0" borderId="0" xfId="0" applyFont="1" applyBorder="1"/>
    <xf numFmtId="0" fontId="1" fillId="0" borderId="0" xfId="0" applyFont="1" applyBorder="1" applyAlignment="1">
      <alignment horizontal="center"/>
    </xf>
    <xf numFmtId="0" fontId="31" fillId="0" borderId="0" xfId="0" applyFont="1" applyFill="1" applyBorder="1"/>
    <xf numFmtId="0" fontId="7" fillId="0" borderId="0" xfId="0" applyFont="1" applyBorder="1" applyAlignment="1">
      <alignment horizontal="center"/>
    </xf>
    <xf numFmtId="0" fontId="31" fillId="0" borderId="0" xfId="0" applyFont="1" applyBorder="1" applyAlignment="1">
      <alignment horizontal="justify" vertical="justify"/>
    </xf>
    <xf numFmtId="0" fontId="12" fillId="0" borderId="19" xfId="0" applyFont="1" applyBorder="1" applyAlignment="1">
      <alignment vertical="center" wrapText="1"/>
    </xf>
    <xf numFmtId="164" fontId="1" fillId="0" borderId="0" xfId="3" applyFont="1" applyBorder="1"/>
    <xf numFmtId="0" fontId="31" fillId="0" borderId="0" xfId="0" applyFont="1" applyBorder="1" applyAlignment="1">
      <alignment horizontal="left" vertical="center"/>
    </xf>
    <xf numFmtId="0" fontId="5" fillId="0" borderId="0" xfId="3" applyNumberFormat="1" applyFont="1" applyFill="1" applyBorder="1"/>
    <xf numFmtId="0" fontId="12" fillId="0" borderId="0" xfId="0" applyFont="1" applyAlignment="1">
      <alignment horizontal="justify" vertical="center"/>
    </xf>
    <xf numFmtId="164" fontId="12" fillId="0" borderId="5" xfId="3" quotePrefix="1" applyFont="1" applyFill="1" applyBorder="1" applyAlignment="1">
      <alignment wrapText="1"/>
    </xf>
    <xf numFmtId="0" fontId="29" fillId="0" borderId="0" xfId="0" applyFont="1"/>
    <xf numFmtId="0" fontId="29" fillId="0" borderId="0" xfId="0" applyFont="1" applyBorder="1"/>
    <xf numFmtId="164" fontId="29" fillId="0" borderId="0" xfId="3" applyFont="1" applyBorder="1"/>
    <xf numFmtId="164" fontId="29" fillId="0" borderId="0" xfId="0" applyNumberFormat="1" applyFont="1" applyBorder="1"/>
    <xf numFmtId="0" fontId="29" fillId="0" borderId="0" xfId="0" applyFont="1" applyFill="1" applyBorder="1"/>
    <xf numFmtId="164" fontId="33" fillId="0" borderId="0" xfId="0" applyNumberFormat="1" applyFont="1" applyBorder="1"/>
    <xf numFmtId="0" fontId="33" fillId="0" borderId="0" xfId="0" applyFont="1" applyFill="1" applyBorder="1"/>
    <xf numFmtId="0" fontId="33" fillId="0" borderId="0" xfId="0" applyFont="1" applyBorder="1"/>
    <xf numFmtId="0" fontId="7" fillId="0" borderId="0" xfId="0" applyFont="1" applyAlignment="1">
      <alignment horizontal="left"/>
    </xf>
    <xf numFmtId="0" fontId="32" fillId="0" borderId="0" xfId="0" applyFont="1" applyBorder="1"/>
    <xf numFmtId="165" fontId="3" fillId="0" borderId="14" xfId="1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5" xfId="0" applyFont="1" applyBorder="1"/>
    <xf numFmtId="0" fontId="5" fillId="0" borderId="30" xfId="0" applyFont="1" applyBorder="1"/>
    <xf numFmtId="164" fontId="19" fillId="0" borderId="11" xfId="3" applyFont="1" applyFill="1" applyBorder="1" applyAlignment="1">
      <alignment horizontal="center"/>
    </xf>
    <xf numFmtId="164" fontId="12" fillId="0" borderId="16" xfId="3" applyFont="1" applyFill="1" applyBorder="1" applyAlignment="1">
      <alignment horizontal="center"/>
    </xf>
    <xf numFmtId="164" fontId="19" fillId="0" borderId="22" xfId="3" applyFont="1" applyFill="1" applyBorder="1" applyAlignment="1">
      <alignment horizontal="center"/>
    </xf>
    <xf numFmtId="0" fontId="18" fillId="0" borderId="2" xfId="0" applyFont="1" applyFill="1" applyBorder="1"/>
    <xf numFmtId="164" fontId="19" fillId="0" borderId="2" xfId="3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21" fillId="0" borderId="2" xfId="3" applyNumberFormat="1" applyFont="1" applyBorder="1" applyAlignment="1">
      <alignment horizontal="center" vertical="center"/>
    </xf>
    <xf numFmtId="0" fontId="21" fillId="0" borderId="2" xfId="3" applyNumberFormat="1" applyFont="1" applyBorder="1" applyAlignment="1">
      <alignment horizontal="center" vertical="center" wrapText="1"/>
    </xf>
    <xf numFmtId="49" fontId="21" fillId="0" borderId="2" xfId="3" applyNumberFormat="1" applyFont="1" applyBorder="1" applyAlignment="1">
      <alignment horizontal="center" vertical="center"/>
    </xf>
    <xf numFmtId="0" fontId="21" fillId="3" borderId="2" xfId="3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8" fillId="0" borderId="2" xfId="4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6" fillId="0" borderId="2" xfId="4" applyFill="1" applyBorder="1" applyAlignment="1">
      <alignment horizontal="center" vertical="center"/>
    </xf>
    <xf numFmtId="43" fontId="12" fillId="0" borderId="2" xfId="0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164" fontId="12" fillId="3" borderId="2" xfId="3" applyFont="1" applyFill="1" applyBorder="1" applyAlignment="1">
      <alignment horizontal="center"/>
    </xf>
    <xf numFmtId="164" fontId="12" fillId="0" borderId="0" xfId="3" applyFont="1" applyBorder="1" applyAlignment="1">
      <alignment horizontal="center" vertical="justify"/>
    </xf>
    <xf numFmtId="0" fontId="1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12" fillId="0" borderId="2" xfId="3" applyFont="1" applyBorder="1" applyAlignment="1">
      <alignment horizontal="center" vertical="center"/>
    </xf>
    <xf numFmtId="0" fontId="18" fillId="2" borderId="17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6">
    <cellStyle name="Hiperlink" xfId="4" builtinId="8"/>
    <cellStyle name="Moeda" xfId="5" builtinId="4"/>
    <cellStyle name="Moeda_Orça.timbó" xfId="1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M437"/>
  <sheetViews>
    <sheetView showGridLines="0" tabSelected="1" view="pageBreakPreview" zoomScale="115" zoomScaleNormal="100" zoomScaleSheetLayoutView="115" workbookViewId="0">
      <selection activeCell="I22" sqref="I22"/>
    </sheetView>
  </sheetViews>
  <sheetFormatPr defaultColWidth="11.42578125" defaultRowHeight="12.75" x14ac:dyDescent="0.2"/>
  <cols>
    <col min="1" max="1" width="6.140625" style="77" customWidth="1"/>
    <col min="2" max="2" width="74.5703125" style="76" customWidth="1"/>
    <col min="3" max="3" width="12.140625" style="77" bestFit="1" customWidth="1"/>
    <col min="4" max="4" width="9.42578125" style="78" bestFit="1" customWidth="1"/>
    <col min="5" max="6" width="9.42578125" style="139" customWidth="1"/>
    <col min="7" max="7" width="12.85546875" style="78" customWidth="1"/>
    <col min="8" max="8" width="9.5703125" style="76" customWidth="1"/>
    <col min="9" max="9" width="13.7109375" style="76" bestFit="1" customWidth="1"/>
    <col min="10" max="11" width="11.42578125" style="76" customWidth="1"/>
    <col min="12" max="12" width="10.140625" style="78" customWidth="1"/>
    <col min="13" max="16384" width="11.42578125" style="76"/>
  </cols>
  <sheetData>
    <row r="1" spans="1:13" ht="15.75" x14ac:dyDescent="0.25">
      <c r="A1" s="75" t="s">
        <v>20</v>
      </c>
      <c r="F1" s="169" t="s">
        <v>107</v>
      </c>
      <c r="G1" s="218">
        <v>0.23400000000000001</v>
      </c>
      <c r="I1" s="99"/>
      <c r="J1" s="254"/>
      <c r="K1" s="254"/>
    </row>
    <row r="2" spans="1:13" x14ac:dyDescent="0.2">
      <c r="A2" s="262" t="s">
        <v>356</v>
      </c>
      <c r="G2" s="236">
        <f>1+G1</f>
        <v>1.234</v>
      </c>
      <c r="J2" s="254"/>
      <c r="K2" s="254"/>
    </row>
    <row r="3" spans="1:13" x14ac:dyDescent="0.2">
      <c r="A3" s="292"/>
      <c r="B3" s="292"/>
      <c r="C3" s="79"/>
      <c r="D3" s="81"/>
      <c r="E3" s="140"/>
      <c r="F3" s="140"/>
      <c r="G3" s="81"/>
      <c r="J3" s="254"/>
      <c r="K3" s="255"/>
      <c r="L3" s="81"/>
      <c r="M3" s="80"/>
    </row>
    <row r="4" spans="1:13" x14ac:dyDescent="0.2">
      <c r="A4" s="298" t="s">
        <v>42</v>
      </c>
      <c r="B4" s="299"/>
      <c r="C4" s="299"/>
      <c r="D4" s="299"/>
      <c r="E4" s="299"/>
      <c r="F4" s="299"/>
      <c r="G4" s="299"/>
      <c r="H4" s="299"/>
      <c r="I4" s="80"/>
      <c r="J4" s="256"/>
      <c r="K4" s="255"/>
      <c r="L4" s="80"/>
      <c r="M4" s="80"/>
    </row>
    <row r="5" spans="1:13" x14ac:dyDescent="0.2">
      <c r="A5" s="82" t="s">
        <v>15</v>
      </c>
      <c r="B5" s="150" t="s">
        <v>242</v>
      </c>
      <c r="C5" s="83"/>
      <c r="D5" s="84"/>
      <c r="E5" s="141"/>
      <c r="F5" s="141"/>
      <c r="G5" s="85"/>
      <c r="H5" s="266"/>
      <c r="I5" s="126"/>
      <c r="J5" s="256"/>
      <c r="K5" s="255"/>
      <c r="L5" s="86"/>
      <c r="M5" s="80"/>
    </row>
    <row r="6" spans="1:13" x14ac:dyDescent="0.2">
      <c r="A6" s="87" t="s">
        <v>243</v>
      </c>
      <c r="B6" s="88" t="s">
        <v>244</v>
      </c>
      <c r="D6" s="89"/>
      <c r="E6" s="142"/>
      <c r="F6" s="142"/>
      <c r="G6" s="90"/>
      <c r="H6" s="267"/>
      <c r="I6" s="80"/>
      <c r="J6" s="255"/>
      <c r="K6" s="255"/>
      <c r="L6" s="89"/>
      <c r="M6" s="80"/>
    </row>
    <row r="7" spans="1:13" x14ac:dyDescent="0.2">
      <c r="A7" s="151" t="s">
        <v>365</v>
      </c>
      <c r="B7" s="103"/>
      <c r="C7" s="104"/>
      <c r="D7" s="89"/>
      <c r="E7" s="293" t="s">
        <v>441</v>
      </c>
      <c r="F7" s="293"/>
      <c r="G7" s="293"/>
      <c r="H7" s="267"/>
      <c r="I7" s="80"/>
      <c r="J7" s="255"/>
      <c r="K7" s="255"/>
      <c r="L7" s="89"/>
    </row>
    <row r="8" spans="1:13" ht="12.75" customHeight="1" x14ac:dyDescent="0.2">
      <c r="A8" s="295" t="s">
        <v>0</v>
      </c>
      <c r="B8" s="295" t="s">
        <v>12</v>
      </c>
      <c r="C8" s="295" t="s">
        <v>13</v>
      </c>
      <c r="D8" s="297" t="s">
        <v>14</v>
      </c>
      <c r="E8" s="143" t="s">
        <v>105</v>
      </c>
      <c r="F8" s="143" t="s">
        <v>47</v>
      </c>
      <c r="G8" s="268" t="s">
        <v>106</v>
      </c>
      <c r="H8" s="98" t="s">
        <v>406</v>
      </c>
      <c r="I8" s="80"/>
      <c r="J8" s="255"/>
      <c r="K8" s="255"/>
      <c r="L8" s="294"/>
    </row>
    <row r="9" spans="1:13" x14ac:dyDescent="0.2">
      <c r="A9" s="295"/>
      <c r="B9" s="296"/>
      <c r="C9" s="295"/>
      <c r="D9" s="297"/>
      <c r="E9" s="144" t="s">
        <v>26</v>
      </c>
      <c r="F9" s="144" t="s">
        <v>26</v>
      </c>
      <c r="G9" s="269" t="s">
        <v>26</v>
      </c>
      <c r="H9" s="270" t="s">
        <v>407</v>
      </c>
      <c r="I9" s="80"/>
      <c r="J9" s="255"/>
      <c r="K9" s="255"/>
      <c r="L9" s="294"/>
    </row>
    <row r="10" spans="1:13" x14ac:dyDescent="0.2">
      <c r="A10" s="111">
        <v>1</v>
      </c>
      <c r="B10" s="168" t="s">
        <v>109</v>
      </c>
      <c r="C10" s="113"/>
      <c r="D10" s="114"/>
      <c r="E10" s="145"/>
      <c r="F10" s="145"/>
      <c r="G10" s="115"/>
      <c r="H10" s="272"/>
      <c r="I10" s="127"/>
      <c r="J10" s="257"/>
      <c r="K10" s="255"/>
      <c r="L10" s="95"/>
    </row>
    <row r="11" spans="1:13" s="93" customFormat="1" x14ac:dyDescent="0.2">
      <c r="A11" s="116" t="s">
        <v>33</v>
      </c>
      <c r="B11" s="117" t="s">
        <v>257</v>
      </c>
      <c r="C11" s="116" t="s">
        <v>4</v>
      </c>
      <c r="D11" s="120">
        <v>14.37</v>
      </c>
      <c r="E11" s="145">
        <v>63.92</v>
      </c>
      <c r="F11" s="147">
        <f>ROUND(E11*$G$2,2)</f>
        <v>78.88</v>
      </c>
      <c r="G11" s="115">
        <f>ROUND(F11*D11,2)</f>
        <v>1133.51</v>
      </c>
      <c r="H11" s="273">
        <v>93358</v>
      </c>
      <c r="I11" s="127"/>
      <c r="J11" s="257"/>
      <c r="K11" s="258"/>
      <c r="L11" s="92"/>
    </row>
    <row r="12" spans="1:13" x14ac:dyDescent="0.2">
      <c r="A12" s="116" t="s">
        <v>1</v>
      </c>
      <c r="B12" s="117" t="s">
        <v>226</v>
      </c>
      <c r="C12" s="116" t="s">
        <v>4</v>
      </c>
      <c r="D12" s="120">
        <v>0.68400000000000005</v>
      </c>
      <c r="E12" s="145">
        <v>38.76</v>
      </c>
      <c r="F12" s="147">
        <f t="shared" ref="F12:F20" si="0">ROUND(E12*$G$2,2)</f>
        <v>47.83</v>
      </c>
      <c r="G12" s="115">
        <f t="shared" ref="G12:G22" si="1">ROUND(F12*D12,2)</f>
        <v>32.72</v>
      </c>
      <c r="H12" s="273">
        <v>96995</v>
      </c>
      <c r="I12" s="127"/>
      <c r="J12" s="257"/>
      <c r="K12" s="255"/>
      <c r="L12" s="92"/>
    </row>
    <row r="13" spans="1:13" hidden="1" x14ac:dyDescent="0.2">
      <c r="A13" s="116" t="s">
        <v>2</v>
      </c>
      <c r="B13" s="117" t="s">
        <v>256</v>
      </c>
      <c r="C13" s="116" t="s">
        <v>10</v>
      </c>
      <c r="D13" s="120"/>
      <c r="E13" s="145">
        <v>3.34</v>
      </c>
      <c r="F13" s="147">
        <f t="shared" si="0"/>
        <v>4.12</v>
      </c>
      <c r="G13" s="115">
        <f t="shared" si="1"/>
        <v>0</v>
      </c>
      <c r="H13" s="273">
        <v>85411</v>
      </c>
      <c r="I13" s="127"/>
      <c r="J13" s="257"/>
      <c r="K13" s="255"/>
      <c r="L13" s="92"/>
    </row>
    <row r="14" spans="1:13" hidden="1" x14ac:dyDescent="0.2">
      <c r="A14" s="116"/>
      <c r="B14" s="117" t="s">
        <v>255</v>
      </c>
      <c r="C14" s="116" t="s">
        <v>3</v>
      </c>
      <c r="D14" s="120"/>
      <c r="E14" s="145">
        <v>23.61</v>
      </c>
      <c r="F14" s="147">
        <f t="shared" si="0"/>
        <v>29.13</v>
      </c>
      <c r="G14" s="115">
        <f t="shared" si="1"/>
        <v>0</v>
      </c>
      <c r="H14" s="273" t="s">
        <v>162</v>
      </c>
      <c r="I14" s="127"/>
      <c r="J14" s="257"/>
      <c r="K14" s="255"/>
      <c r="L14" s="92"/>
    </row>
    <row r="15" spans="1:13" hidden="1" x14ac:dyDescent="0.2">
      <c r="A15" s="116" t="s">
        <v>2</v>
      </c>
      <c r="B15" s="117" t="s">
        <v>149</v>
      </c>
      <c r="C15" s="116" t="s">
        <v>3</v>
      </c>
      <c r="D15" s="120"/>
      <c r="E15" s="145">
        <v>12.34</v>
      </c>
      <c r="F15" s="147">
        <f t="shared" si="0"/>
        <v>15.23</v>
      </c>
      <c r="G15" s="115">
        <f t="shared" si="1"/>
        <v>0</v>
      </c>
      <c r="H15" s="273" t="s">
        <v>162</v>
      </c>
      <c r="I15" s="187"/>
      <c r="J15" s="257"/>
      <c r="K15" s="255"/>
      <c r="L15" s="92"/>
    </row>
    <row r="16" spans="1:13" x14ac:dyDescent="0.2">
      <c r="A16" s="116" t="s">
        <v>2</v>
      </c>
      <c r="B16" s="117" t="s">
        <v>281</v>
      </c>
      <c r="C16" s="116" t="s">
        <v>4</v>
      </c>
      <c r="D16" s="120">
        <f>(3.5*3*0.1)+(0.85*3*0.1)+(4*1.4*0.1)+(1.5*1*0.1)</f>
        <v>2.0150000000000001</v>
      </c>
      <c r="E16" s="145">
        <v>79.8</v>
      </c>
      <c r="F16" s="147">
        <f t="shared" si="0"/>
        <v>98.47</v>
      </c>
      <c r="G16" s="115">
        <f t="shared" si="1"/>
        <v>198.42</v>
      </c>
      <c r="H16" s="273">
        <v>97624</v>
      </c>
      <c r="I16" s="187"/>
      <c r="J16" s="257"/>
      <c r="K16" s="255"/>
      <c r="L16" s="92"/>
    </row>
    <row r="17" spans="1:12" x14ac:dyDescent="0.2">
      <c r="A17" s="116" t="s">
        <v>103</v>
      </c>
      <c r="B17" s="117" t="s">
        <v>380</v>
      </c>
      <c r="C17" s="116" t="s">
        <v>3</v>
      </c>
      <c r="D17" s="120">
        <f>1.5*2</f>
        <v>3</v>
      </c>
      <c r="E17" s="145">
        <v>320.81</v>
      </c>
      <c r="F17" s="147">
        <f t="shared" si="0"/>
        <v>395.88</v>
      </c>
      <c r="G17" s="115">
        <f t="shared" si="1"/>
        <v>1187.6400000000001</v>
      </c>
      <c r="H17" s="273" t="s">
        <v>267</v>
      </c>
      <c r="I17" s="187"/>
      <c r="J17" s="257"/>
      <c r="K17" s="255"/>
      <c r="L17" s="92"/>
    </row>
    <row r="18" spans="1:12" hidden="1" x14ac:dyDescent="0.2">
      <c r="A18" s="116" t="s">
        <v>108</v>
      </c>
      <c r="B18" s="252" t="s">
        <v>275</v>
      </c>
      <c r="C18" s="116" t="s">
        <v>4</v>
      </c>
      <c r="D18" s="120"/>
      <c r="E18" s="145">
        <v>18.53</v>
      </c>
      <c r="F18" s="147">
        <f t="shared" si="0"/>
        <v>22.87</v>
      </c>
      <c r="G18" s="115">
        <f t="shared" si="1"/>
        <v>0</v>
      </c>
      <c r="H18" s="273"/>
      <c r="I18" s="187"/>
      <c r="J18" s="257"/>
      <c r="K18" s="255"/>
      <c r="L18" s="92"/>
    </row>
    <row r="19" spans="1:12" hidden="1" x14ac:dyDescent="0.2">
      <c r="A19" s="116" t="s">
        <v>108</v>
      </c>
      <c r="B19" s="117" t="s">
        <v>151</v>
      </c>
      <c r="C19" s="116" t="s">
        <v>3</v>
      </c>
      <c r="D19" s="120"/>
      <c r="E19" s="145">
        <v>30.25</v>
      </c>
      <c r="F19" s="147">
        <f t="shared" si="0"/>
        <v>37.33</v>
      </c>
      <c r="G19" s="115">
        <f t="shared" si="1"/>
        <v>0</v>
      </c>
      <c r="H19" s="273"/>
      <c r="I19" s="187"/>
      <c r="J19" s="257"/>
      <c r="K19" s="255"/>
      <c r="L19" s="92"/>
    </row>
    <row r="20" spans="1:12" x14ac:dyDescent="0.2">
      <c r="A20" s="116" t="s">
        <v>120</v>
      </c>
      <c r="B20" s="117" t="s">
        <v>357</v>
      </c>
      <c r="C20" s="116" t="s">
        <v>3</v>
      </c>
      <c r="D20" s="120">
        <f>25*1.1</f>
        <v>27.500000000000004</v>
      </c>
      <c r="E20" s="145">
        <v>51.9</v>
      </c>
      <c r="F20" s="147">
        <f t="shared" si="0"/>
        <v>64.040000000000006</v>
      </c>
      <c r="G20" s="115">
        <f t="shared" si="1"/>
        <v>1761.1</v>
      </c>
      <c r="H20" s="273" t="s">
        <v>268</v>
      </c>
      <c r="I20" s="187"/>
      <c r="J20" s="257"/>
      <c r="K20" s="255"/>
      <c r="L20" s="92"/>
    </row>
    <row r="21" spans="1:12" x14ac:dyDescent="0.2">
      <c r="A21" s="116" t="s">
        <v>217</v>
      </c>
      <c r="B21" s="117" t="s">
        <v>266</v>
      </c>
      <c r="C21" s="116" t="s">
        <v>3</v>
      </c>
      <c r="D21" s="120">
        <v>140.56</v>
      </c>
      <c r="E21" s="145">
        <v>4.53</v>
      </c>
      <c r="F21" s="147">
        <f t="shared" ref="F21:F22" si="2">ROUND(E21*$G$2,2)</f>
        <v>5.59</v>
      </c>
      <c r="G21" s="115">
        <f t="shared" si="1"/>
        <v>785.73</v>
      </c>
      <c r="H21" s="273" t="s">
        <v>240</v>
      </c>
      <c r="I21" s="187"/>
      <c r="J21" s="257"/>
      <c r="K21" s="255"/>
      <c r="L21" s="92"/>
    </row>
    <row r="22" spans="1:12" x14ac:dyDescent="0.2">
      <c r="A22" s="116" t="s">
        <v>218</v>
      </c>
      <c r="B22" s="117" t="s">
        <v>393</v>
      </c>
      <c r="C22" s="116" t="s">
        <v>392</v>
      </c>
      <c r="D22" s="120">
        <v>3</v>
      </c>
      <c r="E22" s="145">
        <v>394.53</v>
      </c>
      <c r="F22" s="147">
        <f t="shared" si="2"/>
        <v>486.85</v>
      </c>
      <c r="G22" s="115">
        <f t="shared" si="1"/>
        <v>1460.55</v>
      </c>
      <c r="H22" s="273" t="s">
        <v>391</v>
      </c>
      <c r="I22" s="187"/>
      <c r="J22" s="257"/>
      <c r="K22" s="255"/>
      <c r="L22" s="92"/>
    </row>
    <row r="23" spans="1:12" s="130" customFormat="1" x14ac:dyDescent="0.2">
      <c r="A23" s="128"/>
      <c r="B23" s="119" t="s">
        <v>37</v>
      </c>
      <c r="C23" s="128"/>
      <c r="D23" s="135"/>
      <c r="E23" s="146"/>
      <c r="F23" s="146"/>
      <c r="G23" s="129">
        <f>SUM(G11:G22)</f>
        <v>6559.6699999999992</v>
      </c>
      <c r="H23" s="274"/>
      <c r="I23" s="242"/>
      <c r="J23" s="259"/>
      <c r="K23" s="260"/>
      <c r="L23" s="132"/>
    </row>
    <row r="24" spans="1:12" x14ac:dyDescent="0.2">
      <c r="A24" s="111">
        <v>2</v>
      </c>
      <c r="B24" s="168" t="s">
        <v>104</v>
      </c>
      <c r="C24" s="113"/>
      <c r="D24" s="114"/>
      <c r="E24" s="145"/>
      <c r="F24" s="145"/>
      <c r="G24" s="115"/>
      <c r="H24" s="275"/>
      <c r="I24" s="127"/>
      <c r="J24" s="257"/>
      <c r="K24" s="255"/>
      <c r="L24" s="95"/>
    </row>
    <row r="25" spans="1:12" x14ac:dyDescent="0.2">
      <c r="A25" s="116" t="s">
        <v>16</v>
      </c>
      <c r="B25" s="117" t="s">
        <v>276</v>
      </c>
      <c r="C25" s="116" t="s">
        <v>4</v>
      </c>
      <c r="D25" s="120">
        <f>1.1*1.1*0.3*8</f>
        <v>2.9040000000000004</v>
      </c>
      <c r="E25" s="145">
        <v>622.20000000000005</v>
      </c>
      <c r="F25" s="147">
        <f>ROUND(E25*$G$2,2)</f>
        <v>767.79</v>
      </c>
      <c r="G25" s="115">
        <f>ROUND(F25*D25,2)</f>
        <v>2229.66</v>
      </c>
      <c r="H25" s="273" t="s">
        <v>241</v>
      </c>
      <c r="I25" s="127"/>
      <c r="J25" s="257"/>
      <c r="K25" s="255"/>
      <c r="L25" s="95"/>
    </row>
    <row r="26" spans="1:12" s="93" customFormat="1" x14ac:dyDescent="0.2">
      <c r="A26" s="116" t="s">
        <v>45</v>
      </c>
      <c r="B26" s="117" t="s">
        <v>277</v>
      </c>
      <c r="C26" s="116" t="s">
        <v>4</v>
      </c>
      <c r="D26" s="120">
        <f>0.6*0.6*0.3*4</f>
        <v>0.432</v>
      </c>
      <c r="E26" s="145">
        <v>740.83</v>
      </c>
      <c r="F26" s="147">
        <f>ROUND(E26*$G$2,2)</f>
        <v>914.18</v>
      </c>
      <c r="G26" s="115">
        <f>ROUND(F26*D26,2)</f>
        <v>394.93</v>
      </c>
      <c r="H26" s="273" t="s">
        <v>241</v>
      </c>
      <c r="I26" s="127"/>
      <c r="J26" s="257"/>
      <c r="K26" s="258"/>
      <c r="L26" s="92"/>
    </row>
    <row r="27" spans="1:12" x14ac:dyDescent="0.2">
      <c r="A27" s="116" t="s">
        <v>148</v>
      </c>
      <c r="B27" s="117" t="s">
        <v>278</v>
      </c>
      <c r="C27" s="116" t="s">
        <v>4</v>
      </c>
      <c r="D27" s="115">
        <f>0.15*0.4*55</f>
        <v>3.3</v>
      </c>
      <c r="E27" s="145">
        <v>1008.87</v>
      </c>
      <c r="F27" s="147">
        <f t="shared" ref="F27:F30" si="3">ROUND(E27*$G$2,2)</f>
        <v>1244.95</v>
      </c>
      <c r="G27" s="115">
        <f t="shared" ref="G27:G30" si="4">ROUND(F27*D27,2)</f>
        <v>4108.34</v>
      </c>
      <c r="H27" s="273" t="s">
        <v>263</v>
      </c>
      <c r="I27" s="127"/>
      <c r="J27" s="257"/>
      <c r="K27" s="255"/>
      <c r="L27" s="92"/>
    </row>
    <row r="28" spans="1:12" x14ac:dyDescent="0.2">
      <c r="A28" s="116" t="s">
        <v>269</v>
      </c>
      <c r="B28" s="117" t="s">
        <v>381</v>
      </c>
      <c r="C28" s="116" t="s">
        <v>4</v>
      </c>
      <c r="D28" s="120">
        <f>19.4*0.05</f>
        <v>0.97</v>
      </c>
      <c r="E28" s="145">
        <v>184.62</v>
      </c>
      <c r="F28" s="147">
        <f t="shared" si="3"/>
        <v>227.82</v>
      </c>
      <c r="G28" s="115">
        <f t="shared" si="4"/>
        <v>220.99</v>
      </c>
      <c r="H28" s="273">
        <v>94107</v>
      </c>
      <c r="I28" s="127"/>
      <c r="J28" s="257"/>
      <c r="K28" s="255"/>
      <c r="L28" s="92"/>
    </row>
    <row r="29" spans="1:12" x14ac:dyDescent="0.2">
      <c r="A29" s="116" t="s">
        <v>383</v>
      </c>
      <c r="B29" s="117" t="s">
        <v>382</v>
      </c>
      <c r="C29" s="116" t="s">
        <v>3</v>
      </c>
      <c r="D29" s="120">
        <v>19.399999999999999</v>
      </c>
      <c r="E29" s="145">
        <v>9.44</v>
      </c>
      <c r="F29" s="147">
        <f t="shared" si="3"/>
        <v>11.65</v>
      </c>
      <c r="G29" s="115">
        <f t="shared" si="4"/>
        <v>226.01</v>
      </c>
      <c r="H29" s="273">
        <v>85662</v>
      </c>
      <c r="I29" s="127"/>
      <c r="J29" s="257"/>
      <c r="K29" s="255"/>
      <c r="L29" s="92"/>
    </row>
    <row r="30" spans="1:12" x14ac:dyDescent="0.2">
      <c r="A30" s="116" t="s">
        <v>384</v>
      </c>
      <c r="B30" s="117" t="s">
        <v>387</v>
      </c>
      <c r="C30" s="116" t="s">
        <v>3</v>
      </c>
      <c r="D30" s="120">
        <v>19.399999999999999</v>
      </c>
      <c r="E30" s="145">
        <v>12.51</v>
      </c>
      <c r="F30" s="147">
        <f t="shared" si="3"/>
        <v>15.44</v>
      </c>
      <c r="G30" s="115">
        <f t="shared" si="4"/>
        <v>299.54000000000002</v>
      </c>
      <c r="H30" s="273">
        <v>95240</v>
      </c>
      <c r="I30" s="127"/>
      <c r="J30" s="257"/>
      <c r="K30" s="255"/>
      <c r="L30" s="92"/>
    </row>
    <row r="31" spans="1:12" x14ac:dyDescent="0.2">
      <c r="A31" s="116" t="s">
        <v>386</v>
      </c>
      <c r="B31" s="117" t="s">
        <v>385</v>
      </c>
      <c r="C31" s="116" t="s">
        <v>3</v>
      </c>
      <c r="D31" s="120">
        <v>19.399999999999999</v>
      </c>
      <c r="E31" s="145">
        <v>29.16</v>
      </c>
      <c r="F31" s="147">
        <f t="shared" ref="F31" si="5">ROUND(E31*$G$2,2)</f>
        <v>35.979999999999997</v>
      </c>
      <c r="G31" s="115">
        <f t="shared" ref="G31" si="6">ROUND(F31*D31,2)</f>
        <v>698.01</v>
      </c>
      <c r="H31" s="273">
        <v>87680</v>
      </c>
      <c r="I31" s="127"/>
      <c r="J31" s="257"/>
      <c r="K31" s="255"/>
      <c r="L31" s="92"/>
    </row>
    <row r="32" spans="1:12" s="130" customFormat="1" x14ac:dyDescent="0.2">
      <c r="A32" s="128"/>
      <c r="B32" s="119" t="s">
        <v>37</v>
      </c>
      <c r="C32" s="128"/>
      <c r="D32" s="135"/>
      <c r="E32" s="146"/>
      <c r="F32" s="146"/>
      <c r="G32" s="129">
        <f>SUM(G25:G31)</f>
        <v>8177.4800000000005</v>
      </c>
      <c r="H32" s="273"/>
      <c r="I32" s="131"/>
      <c r="J32" s="259"/>
      <c r="K32" s="260"/>
      <c r="L32" s="132"/>
    </row>
    <row r="33" spans="1:12" s="93" customFormat="1" x14ac:dyDescent="0.2">
      <c r="A33" s="111">
        <v>3</v>
      </c>
      <c r="B33" s="168" t="s">
        <v>5</v>
      </c>
      <c r="C33" s="113"/>
      <c r="D33" s="114"/>
      <c r="E33" s="145"/>
      <c r="F33" s="145"/>
      <c r="G33" s="115"/>
      <c r="H33" s="273"/>
      <c r="I33" s="127"/>
      <c r="J33" s="257"/>
      <c r="K33" s="258"/>
      <c r="L33" s="92"/>
    </row>
    <row r="34" spans="1:12" s="93" customFormat="1" hidden="1" x14ac:dyDescent="0.2">
      <c r="A34" s="111"/>
      <c r="B34" s="117"/>
      <c r="C34" s="116" t="s">
        <v>3</v>
      </c>
      <c r="D34" s="115"/>
      <c r="E34" s="145"/>
      <c r="F34" s="147">
        <f>ROUND(E34*$G$2,2)</f>
        <v>0</v>
      </c>
      <c r="G34" s="115">
        <f>ROUND(F34*D34,2)</f>
        <v>0</v>
      </c>
      <c r="H34" s="273"/>
      <c r="I34" s="127"/>
      <c r="J34" s="257"/>
      <c r="K34" s="258"/>
      <c r="L34" s="92"/>
    </row>
    <row r="35" spans="1:12" s="93" customFormat="1" ht="22.5" x14ac:dyDescent="0.2">
      <c r="A35" s="116" t="s">
        <v>57</v>
      </c>
      <c r="B35" s="117" t="s">
        <v>358</v>
      </c>
      <c r="C35" s="116" t="s">
        <v>3</v>
      </c>
      <c r="D35" s="115">
        <f>(18*3)-(2.8+1.5+1.9)</f>
        <v>47.8</v>
      </c>
      <c r="E35" s="145">
        <v>48.37</v>
      </c>
      <c r="F35" s="147">
        <f t="shared" ref="F35:F41" si="7">ROUND(E35*$G$2,2)</f>
        <v>59.69</v>
      </c>
      <c r="G35" s="115">
        <f t="shared" ref="G35:G41" si="8">ROUND(F35*D35,2)</f>
        <v>2853.18</v>
      </c>
      <c r="H35" s="273">
        <v>87269</v>
      </c>
      <c r="I35" s="127"/>
      <c r="J35" s="257"/>
      <c r="K35" s="258"/>
      <c r="L35" s="92"/>
    </row>
    <row r="36" spans="1:12" s="93" customFormat="1" x14ac:dyDescent="0.2">
      <c r="A36" s="116" t="s">
        <v>58</v>
      </c>
      <c r="B36" s="117" t="s">
        <v>359</v>
      </c>
      <c r="C36" s="116" t="s">
        <v>3</v>
      </c>
      <c r="D36" s="115">
        <f>19.4+42.77</f>
        <v>62.17</v>
      </c>
      <c r="E36" s="145">
        <v>30.2</v>
      </c>
      <c r="F36" s="147">
        <f t="shared" si="7"/>
        <v>37.270000000000003</v>
      </c>
      <c r="G36" s="115">
        <f t="shared" si="8"/>
        <v>2317.08</v>
      </c>
      <c r="H36" s="273">
        <v>87248</v>
      </c>
      <c r="I36" s="127"/>
      <c r="J36" s="257"/>
      <c r="K36" s="258"/>
      <c r="L36" s="92"/>
    </row>
    <row r="37" spans="1:12" s="93" customFormat="1" x14ac:dyDescent="0.2">
      <c r="A37" s="116" t="s">
        <v>59</v>
      </c>
      <c r="B37" s="117" t="s">
        <v>377</v>
      </c>
      <c r="C37" s="116" t="s">
        <v>3</v>
      </c>
      <c r="D37" s="115">
        <f>110.18+6</f>
        <v>116.18</v>
      </c>
      <c r="E37" s="145">
        <v>83.86</v>
      </c>
      <c r="F37" s="147">
        <f t="shared" si="7"/>
        <v>103.48</v>
      </c>
      <c r="G37" s="115">
        <f t="shared" si="8"/>
        <v>12022.31</v>
      </c>
      <c r="H37" s="273" t="s">
        <v>371</v>
      </c>
      <c r="I37" s="127"/>
      <c r="J37" s="257"/>
      <c r="K37" s="258"/>
      <c r="L37" s="92"/>
    </row>
    <row r="38" spans="1:12" s="93" customFormat="1" hidden="1" x14ac:dyDescent="0.2">
      <c r="A38" s="111"/>
      <c r="B38" s="240"/>
      <c r="C38" s="116" t="s">
        <v>3</v>
      </c>
      <c r="D38" s="115"/>
      <c r="E38" s="145"/>
      <c r="F38" s="147">
        <f t="shared" si="7"/>
        <v>0</v>
      </c>
      <c r="G38" s="115">
        <f t="shared" si="8"/>
        <v>0</v>
      </c>
      <c r="H38" s="273"/>
      <c r="I38" s="127"/>
      <c r="J38" s="257"/>
      <c r="K38" s="258"/>
      <c r="L38" s="92"/>
    </row>
    <row r="39" spans="1:12" ht="12.75" customHeight="1" x14ac:dyDescent="0.2">
      <c r="A39" s="116" t="s">
        <v>194</v>
      </c>
      <c r="B39" s="117" t="s">
        <v>254</v>
      </c>
      <c r="C39" s="116" t="s">
        <v>10</v>
      </c>
      <c r="D39" s="120">
        <f>16.3+8.25+2.2+4.2+4.2</f>
        <v>35.15</v>
      </c>
      <c r="E39" s="145">
        <v>32.85</v>
      </c>
      <c r="F39" s="147">
        <f t="shared" si="7"/>
        <v>40.54</v>
      </c>
      <c r="G39" s="115">
        <f t="shared" si="8"/>
        <v>1424.98</v>
      </c>
      <c r="H39" s="273">
        <v>93204</v>
      </c>
      <c r="I39" s="127"/>
      <c r="J39" s="257"/>
      <c r="K39" s="255"/>
      <c r="L39" s="81"/>
    </row>
    <row r="40" spans="1:12" ht="12.75" hidden="1" customHeight="1" x14ac:dyDescent="0.2">
      <c r="A40" s="116"/>
      <c r="B40" s="117"/>
      <c r="C40" s="116" t="s">
        <v>43</v>
      </c>
      <c r="D40" s="120"/>
      <c r="E40" s="145">
        <v>47.66</v>
      </c>
      <c r="F40" s="147">
        <f t="shared" si="7"/>
        <v>58.81</v>
      </c>
      <c r="G40" s="115">
        <f t="shared" si="8"/>
        <v>0</v>
      </c>
      <c r="H40" s="273">
        <v>40340</v>
      </c>
      <c r="I40" s="127"/>
      <c r="J40" s="257"/>
      <c r="K40" s="255"/>
      <c r="L40" s="81"/>
    </row>
    <row r="41" spans="1:12" x14ac:dyDescent="0.2">
      <c r="A41" s="116" t="s">
        <v>270</v>
      </c>
      <c r="B41" s="117" t="s">
        <v>279</v>
      </c>
      <c r="C41" s="116" t="s">
        <v>4</v>
      </c>
      <c r="D41" s="120">
        <v>9.4200000000000006E-2</v>
      </c>
      <c r="E41" s="145">
        <v>2295.11</v>
      </c>
      <c r="F41" s="147">
        <f t="shared" si="7"/>
        <v>2832.17</v>
      </c>
      <c r="G41" s="115">
        <f t="shared" si="8"/>
        <v>266.79000000000002</v>
      </c>
      <c r="H41" s="273" t="s">
        <v>258</v>
      </c>
      <c r="I41" s="127"/>
      <c r="J41" s="257"/>
      <c r="K41" s="255"/>
      <c r="L41" s="81"/>
    </row>
    <row r="42" spans="1:12" x14ac:dyDescent="0.2">
      <c r="A42" s="116" t="s">
        <v>271</v>
      </c>
      <c r="B42" s="167" t="s">
        <v>280</v>
      </c>
      <c r="C42" s="116" t="s">
        <v>4</v>
      </c>
      <c r="D42" s="115">
        <f>0.15*0.3*3*11</f>
        <v>1.4850000000000001</v>
      </c>
      <c r="E42" s="145">
        <v>1674.59</v>
      </c>
      <c r="F42" s="147">
        <f t="shared" ref="F42:F52" si="9">ROUND(E42*$G$2,2)</f>
        <v>2066.44</v>
      </c>
      <c r="G42" s="115">
        <f t="shared" ref="G42:G48" si="10">ROUND(F42*D42,2)</f>
        <v>3068.66</v>
      </c>
      <c r="H42" s="273" t="s">
        <v>250</v>
      </c>
      <c r="I42" s="127"/>
      <c r="J42" s="257"/>
      <c r="K42" s="255"/>
      <c r="L42" s="81"/>
    </row>
    <row r="43" spans="1:12" hidden="1" x14ac:dyDescent="0.2">
      <c r="A43" s="116"/>
      <c r="B43" s="241"/>
      <c r="C43" s="116"/>
      <c r="D43" s="115"/>
      <c r="E43" s="145"/>
      <c r="F43" s="147">
        <f t="shared" si="9"/>
        <v>0</v>
      </c>
      <c r="G43" s="115">
        <f t="shared" si="10"/>
        <v>0</v>
      </c>
      <c r="H43" s="273"/>
      <c r="I43" s="153"/>
      <c r="J43" s="257"/>
      <c r="K43" s="255"/>
      <c r="L43" s="81"/>
    </row>
    <row r="44" spans="1:12" ht="12.75" customHeight="1" x14ac:dyDescent="0.2">
      <c r="A44" s="116" t="s">
        <v>272</v>
      </c>
      <c r="B44" s="167" t="s">
        <v>362</v>
      </c>
      <c r="C44" s="116" t="s">
        <v>10</v>
      </c>
      <c r="D44" s="115">
        <f>5.75+3.35+4</f>
        <v>13.1</v>
      </c>
      <c r="E44" s="145">
        <v>45.35</v>
      </c>
      <c r="F44" s="147">
        <f t="shared" si="9"/>
        <v>55.96</v>
      </c>
      <c r="G44" s="115">
        <f t="shared" si="10"/>
        <v>733.08</v>
      </c>
      <c r="H44" s="273">
        <v>93197</v>
      </c>
      <c r="I44" s="153"/>
      <c r="J44" s="257"/>
      <c r="K44" s="255"/>
      <c r="L44" s="81"/>
    </row>
    <row r="45" spans="1:12" x14ac:dyDescent="0.2">
      <c r="A45" s="116" t="s">
        <v>273</v>
      </c>
      <c r="B45" s="167" t="s">
        <v>360</v>
      </c>
      <c r="C45" s="116" t="s">
        <v>10</v>
      </c>
      <c r="D45" s="115">
        <f>D44</f>
        <v>13.1</v>
      </c>
      <c r="E45" s="145">
        <v>47.93</v>
      </c>
      <c r="F45" s="147">
        <f t="shared" si="9"/>
        <v>59.15</v>
      </c>
      <c r="G45" s="115">
        <f t="shared" si="10"/>
        <v>774.87</v>
      </c>
      <c r="H45" s="273">
        <v>93187</v>
      </c>
      <c r="I45" s="153"/>
      <c r="J45" s="257"/>
      <c r="K45" s="255"/>
      <c r="L45" s="81"/>
    </row>
    <row r="46" spans="1:12" x14ac:dyDescent="0.2">
      <c r="A46" s="116" t="s">
        <v>287</v>
      </c>
      <c r="B46" s="167" t="s">
        <v>361</v>
      </c>
      <c r="C46" s="116" t="s">
        <v>10</v>
      </c>
      <c r="D46" s="115">
        <f>2.2+2.85</f>
        <v>5.0500000000000007</v>
      </c>
      <c r="E46" s="145">
        <v>48.01</v>
      </c>
      <c r="F46" s="147">
        <f t="shared" si="9"/>
        <v>59.24</v>
      </c>
      <c r="G46" s="115">
        <f t="shared" si="10"/>
        <v>299.16000000000003</v>
      </c>
      <c r="H46" s="273">
        <v>93189</v>
      </c>
      <c r="I46" s="153"/>
      <c r="J46" s="257"/>
      <c r="K46" s="255"/>
      <c r="L46" s="81"/>
    </row>
    <row r="47" spans="1:12" hidden="1" x14ac:dyDescent="0.2">
      <c r="A47" s="116" t="s">
        <v>59</v>
      </c>
      <c r="B47" s="171" t="s">
        <v>229</v>
      </c>
      <c r="C47" s="172" t="s">
        <v>4</v>
      </c>
      <c r="D47" s="115"/>
      <c r="E47" s="145">
        <v>905.99</v>
      </c>
      <c r="F47" s="147">
        <f t="shared" si="9"/>
        <v>1117.99</v>
      </c>
      <c r="G47" s="115">
        <f t="shared" si="10"/>
        <v>0</v>
      </c>
      <c r="H47" s="273" t="s">
        <v>169</v>
      </c>
      <c r="I47" s="127"/>
      <c r="J47" s="257"/>
      <c r="K47" s="255"/>
      <c r="L47" s="92"/>
    </row>
    <row r="48" spans="1:12" hidden="1" x14ac:dyDescent="0.2">
      <c r="A48" s="116" t="s">
        <v>194</v>
      </c>
      <c r="B48" s="117" t="s">
        <v>111</v>
      </c>
      <c r="C48" s="116" t="s">
        <v>4</v>
      </c>
      <c r="D48" s="115"/>
      <c r="E48" s="145">
        <v>1378.87</v>
      </c>
      <c r="F48" s="147">
        <f t="shared" si="9"/>
        <v>1701.53</v>
      </c>
      <c r="G48" s="115">
        <f t="shared" si="10"/>
        <v>0</v>
      </c>
      <c r="H48" s="273" t="s">
        <v>110</v>
      </c>
      <c r="I48" s="127"/>
      <c r="J48" s="257"/>
      <c r="K48" s="255"/>
      <c r="L48" s="81"/>
    </row>
    <row r="49" spans="1:12" s="133" customFormat="1" x14ac:dyDescent="0.2">
      <c r="A49" s="128"/>
      <c r="B49" s="119" t="s">
        <v>37</v>
      </c>
      <c r="C49" s="128"/>
      <c r="D49" s="135"/>
      <c r="E49" s="146"/>
      <c r="F49" s="147"/>
      <c r="G49" s="129">
        <f>SUM(G34:G48)</f>
        <v>23760.11</v>
      </c>
      <c r="H49" s="276"/>
      <c r="I49" s="131"/>
      <c r="J49" s="259"/>
      <c r="K49" s="261"/>
      <c r="L49" s="134"/>
    </row>
    <row r="50" spans="1:12" ht="14.25" customHeight="1" x14ac:dyDescent="0.2">
      <c r="A50" s="111">
        <v>4</v>
      </c>
      <c r="B50" s="168" t="s">
        <v>6</v>
      </c>
      <c r="C50" s="113"/>
      <c r="D50" s="114"/>
      <c r="E50" s="145"/>
      <c r="F50" s="147"/>
      <c r="G50" s="115"/>
      <c r="H50" s="265"/>
      <c r="I50" s="127"/>
      <c r="J50" s="257"/>
      <c r="K50" s="255"/>
      <c r="L50" s="81"/>
    </row>
    <row r="51" spans="1:12" ht="33.75" x14ac:dyDescent="0.2">
      <c r="A51" s="116" t="s">
        <v>60</v>
      </c>
      <c r="B51" s="117" t="s">
        <v>259</v>
      </c>
      <c r="C51" s="116" t="s">
        <v>3</v>
      </c>
      <c r="D51" s="115">
        <f>55*0.2+19.4+6</f>
        <v>36.4</v>
      </c>
      <c r="E51" s="145">
        <v>70.77</v>
      </c>
      <c r="F51" s="147">
        <f t="shared" si="9"/>
        <v>87.33</v>
      </c>
      <c r="G51" s="115">
        <f>ROUND(F51*D51,2)</f>
        <v>3178.81</v>
      </c>
      <c r="H51" s="273" t="s">
        <v>246</v>
      </c>
      <c r="I51" s="127"/>
      <c r="J51" s="257"/>
      <c r="K51" s="255"/>
      <c r="L51" s="81"/>
    </row>
    <row r="52" spans="1:12" hidden="1" x14ac:dyDescent="0.2">
      <c r="A52" s="116" t="s">
        <v>60</v>
      </c>
      <c r="B52" s="117"/>
      <c r="C52" s="116" t="s">
        <v>3</v>
      </c>
      <c r="D52" s="147"/>
      <c r="E52" s="145">
        <v>8.82</v>
      </c>
      <c r="F52" s="147">
        <f t="shared" si="9"/>
        <v>10.88</v>
      </c>
      <c r="G52" s="115">
        <f>ROUND(F52*D52,2)</f>
        <v>0</v>
      </c>
      <c r="H52" s="273" t="s">
        <v>232</v>
      </c>
      <c r="I52" s="127"/>
      <c r="J52" s="257"/>
      <c r="K52" s="255"/>
      <c r="L52" s="81"/>
    </row>
    <row r="53" spans="1:12" s="133" customFormat="1" ht="12.75" customHeight="1" x14ac:dyDescent="0.2">
      <c r="A53" s="128"/>
      <c r="B53" s="119" t="s">
        <v>37</v>
      </c>
      <c r="C53" s="128"/>
      <c r="D53" s="135"/>
      <c r="E53" s="146"/>
      <c r="F53" s="147"/>
      <c r="G53" s="129">
        <f>SUM(G51)</f>
        <v>3178.81</v>
      </c>
      <c r="H53" s="276"/>
      <c r="I53" s="131"/>
      <c r="J53" s="259"/>
      <c r="K53" s="261"/>
      <c r="L53" s="110"/>
    </row>
    <row r="54" spans="1:12" s="93" customFormat="1" ht="12.75" customHeight="1" x14ac:dyDescent="0.2">
      <c r="A54" s="111">
        <v>5</v>
      </c>
      <c r="B54" s="168" t="s">
        <v>35</v>
      </c>
      <c r="C54" s="113"/>
      <c r="D54" s="114"/>
      <c r="E54" s="145"/>
      <c r="F54" s="145"/>
      <c r="G54" s="115"/>
      <c r="H54" s="275"/>
      <c r="I54" s="127"/>
      <c r="J54" s="257"/>
      <c r="K54" s="258"/>
      <c r="L54" s="92"/>
    </row>
    <row r="55" spans="1:12" ht="22.5" x14ac:dyDescent="0.2">
      <c r="A55" s="116" t="s">
        <v>17</v>
      </c>
      <c r="B55" s="117" t="s">
        <v>363</v>
      </c>
      <c r="C55" s="116" t="s">
        <v>3</v>
      </c>
      <c r="D55" s="147">
        <f>(8.25+4.1+3.9)*3</f>
        <v>48.75</v>
      </c>
      <c r="E55" s="182">
        <v>37.06</v>
      </c>
      <c r="F55" s="147">
        <f>ROUND(E55*$G$2,2)</f>
        <v>45.73</v>
      </c>
      <c r="G55" s="115">
        <f>ROUND(F55*D55,2)</f>
        <v>2229.34</v>
      </c>
      <c r="H55" s="273">
        <v>87478</v>
      </c>
      <c r="I55" s="187"/>
      <c r="J55" s="257"/>
      <c r="K55" s="255"/>
      <c r="L55" s="92"/>
    </row>
    <row r="56" spans="1:12" ht="22.5" x14ac:dyDescent="0.2">
      <c r="A56" s="116" t="s">
        <v>195</v>
      </c>
      <c r="B56" s="117" t="s">
        <v>364</v>
      </c>
      <c r="C56" s="116" t="s">
        <v>3</v>
      </c>
      <c r="D56" s="147">
        <f>(2.1+4)*3+(16.3*5.75)</f>
        <v>112.02500000000001</v>
      </c>
      <c r="E56" s="145">
        <v>52.11</v>
      </c>
      <c r="F56" s="147">
        <f t="shared" ref="F56:F59" si="11">ROUND(E56*$G$2,2)</f>
        <v>64.3</v>
      </c>
      <c r="G56" s="115">
        <f t="shared" ref="G56:G59" si="12">ROUND(F56*D56,2)</f>
        <v>7203.21</v>
      </c>
      <c r="H56" s="273">
        <v>87480</v>
      </c>
      <c r="I56" s="127"/>
      <c r="J56" s="257"/>
      <c r="K56" s="255"/>
      <c r="L56" s="92"/>
    </row>
    <row r="57" spans="1:12" x14ac:dyDescent="0.2">
      <c r="A57" s="116" t="s">
        <v>196</v>
      </c>
      <c r="B57" s="117" t="s">
        <v>394</v>
      </c>
      <c r="C57" s="116" t="s">
        <v>3</v>
      </c>
      <c r="D57" s="147">
        <f>16.3*2*5.75+(2.1+8.25+4.1+4)*2*3+(3.9*2*3)</f>
        <v>321.54999999999995</v>
      </c>
      <c r="E57" s="145">
        <v>3.51</v>
      </c>
      <c r="F57" s="147">
        <f t="shared" si="11"/>
        <v>4.33</v>
      </c>
      <c r="G57" s="115">
        <f t="shared" si="12"/>
        <v>1392.31</v>
      </c>
      <c r="H57" s="273">
        <v>87878</v>
      </c>
      <c r="I57" s="251"/>
      <c r="J57" s="257"/>
      <c r="K57" s="255"/>
      <c r="L57" s="92"/>
    </row>
    <row r="58" spans="1:12" s="93" customFormat="1" x14ac:dyDescent="0.2">
      <c r="A58" s="116" t="s">
        <v>197</v>
      </c>
      <c r="B58" s="117" t="s">
        <v>370</v>
      </c>
      <c r="C58" s="116" t="s">
        <v>3</v>
      </c>
      <c r="D58" s="147">
        <f>D57</f>
        <v>321.54999999999995</v>
      </c>
      <c r="E58" s="182">
        <v>18.739999999999998</v>
      </c>
      <c r="F58" s="147">
        <f t="shared" si="11"/>
        <v>23.13</v>
      </c>
      <c r="G58" s="115">
        <f t="shared" si="12"/>
        <v>7437.45</v>
      </c>
      <c r="H58" s="273">
        <v>87548</v>
      </c>
      <c r="I58" s="76"/>
      <c r="J58" s="257"/>
      <c r="K58" s="258"/>
      <c r="L58" s="92"/>
    </row>
    <row r="59" spans="1:12" s="93" customFormat="1" ht="22.5" x14ac:dyDescent="0.2">
      <c r="A59" s="116" t="s">
        <v>283</v>
      </c>
      <c r="B59" s="117" t="s">
        <v>282</v>
      </c>
      <c r="C59" s="116" t="s">
        <v>10</v>
      </c>
      <c r="D59" s="147">
        <v>1.5</v>
      </c>
      <c r="E59" s="182">
        <v>129.66</v>
      </c>
      <c r="F59" s="147">
        <f t="shared" si="11"/>
        <v>160</v>
      </c>
      <c r="G59" s="115">
        <f t="shared" si="12"/>
        <v>240</v>
      </c>
      <c r="H59" s="273">
        <v>84089</v>
      </c>
      <c r="I59" s="76"/>
      <c r="J59" s="257"/>
      <c r="K59" s="258"/>
      <c r="L59" s="92"/>
    </row>
    <row r="60" spans="1:12" s="133" customFormat="1" ht="12.75" customHeight="1" x14ac:dyDescent="0.2">
      <c r="A60" s="128"/>
      <c r="B60" s="119" t="s">
        <v>37</v>
      </c>
      <c r="C60" s="128"/>
      <c r="D60" s="135"/>
      <c r="E60" s="146"/>
      <c r="F60" s="146"/>
      <c r="G60" s="129">
        <f>SUM(G55:G59)</f>
        <v>18502.309999999998</v>
      </c>
      <c r="H60" s="276"/>
      <c r="I60" s="131"/>
      <c r="J60" s="259"/>
      <c r="K60" s="261"/>
      <c r="L60" s="110"/>
    </row>
    <row r="61" spans="1:12" x14ac:dyDescent="0.2">
      <c r="A61" s="121">
        <v>6</v>
      </c>
      <c r="B61" s="168" t="s">
        <v>8</v>
      </c>
      <c r="C61" s="113"/>
      <c r="D61" s="120"/>
      <c r="E61" s="145"/>
      <c r="F61" s="145"/>
      <c r="G61" s="115"/>
      <c r="H61" s="265"/>
      <c r="I61" s="127"/>
      <c r="J61" s="257"/>
      <c r="K61" s="255"/>
      <c r="L61" s="92"/>
    </row>
    <row r="62" spans="1:12" ht="33.75" x14ac:dyDescent="0.2">
      <c r="A62" s="122" t="s">
        <v>61</v>
      </c>
      <c r="B62" s="238" t="s">
        <v>230</v>
      </c>
      <c r="C62" s="116" t="s">
        <v>3</v>
      </c>
      <c r="D62" s="120">
        <f>9.5+19.4</f>
        <v>28.9</v>
      </c>
      <c r="E62" s="145">
        <v>62.27</v>
      </c>
      <c r="F62" s="147">
        <f>ROUND(E62*$G$2,2)</f>
        <v>76.84</v>
      </c>
      <c r="G62" s="115">
        <f t="shared" ref="G62:G72" si="13">ROUND(F62*D62,2)</f>
        <v>2220.6799999999998</v>
      </c>
      <c r="H62" s="273" t="s">
        <v>231</v>
      </c>
      <c r="I62" s="127"/>
      <c r="J62" s="257"/>
      <c r="K62" s="255"/>
      <c r="L62" s="92"/>
    </row>
    <row r="63" spans="1:12" hidden="1" x14ac:dyDescent="0.2">
      <c r="A63" s="122" t="s">
        <v>62</v>
      </c>
      <c r="B63" s="238"/>
      <c r="C63" s="116" t="s">
        <v>10</v>
      </c>
      <c r="D63" s="120"/>
      <c r="E63" s="145">
        <v>18.489999999999998</v>
      </c>
      <c r="F63" s="147">
        <f>ROUND(E63*$G$2,2)</f>
        <v>22.82</v>
      </c>
      <c r="G63" s="115">
        <f t="shared" si="13"/>
        <v>0</v>
      </c>
      <c r="H63" s="273">
        <v>13340</v>
      </c>
      <c r="I63" s="127"/>
      <c r="J63" s="257"/>
      <c r="K63" s="255"/>
      <c r="L63" s="92"/>
    </row>
    <row r="64" spans="1:12" s="152" customFormat="1" hidden="1" x14ac:dyDescent="0.2">
      <c r="A64" s="122" t="s">
        <v>62</v>
      </c>
      <c r="B64" s="163" t="s">
        <v>70</v>
      </c>
      <c r="C64" s="116" t="s">
        <v>43</v>
      </c>
      <c r="D64" s="120"/>
      <c r="E64" s="182">
        <v>83.85</v>
      </c>
      <c r="F64" s="147">
        <f>ROUND(E64*$G$2,2)</f>
        <v>103.47</v>
      </c>
      <c r="G64" s="115">
        <f t="shared" si="13"/>
        <v>0</v>
      </c>
      <c r="H64" s="273" t="s">
        <v>150</v>
      </c>
      <c r="I64" s="162"/>
      <c r="J64" s="257"/>
      <c r="K64" s="255"/>
      <c r="L64" s="95"/>
    </row>
    <row r="65" spans="1:12" s="161" customFormat="1" hidden="1" x14ac:dyDescent="0.2">
      <c r="A65" s="122" t="s">
        <v>62</v>
      </c>
      <c r="B65" s="163" t="s">
        <v>72</v>
      </c>
      <c r="C65" s="116" t="s">
        <v>71</v>
      </c>
      <c r="D65" s="120"/>
      <c r="E65" s="182">
        <v>83.85</v>
      </c>
      <c r="F65" s="147">
        <f>ROUND(E65*$G$2,2)</f>
        <v>103.47</v>
      </c>
      <c r="G65" s="115">
        <f t="shared" si="13"/>
        <v>0</v>
      </c>
      <c r="H65" s="273" t="s">
        <v>150</v>
      </c>
      <c r="I65" s="153"/>
      <c r="J65" s="257"/>
      <c r="K65" s="258"/>
      <c r="L65" s="92"/>
    </row>
    <row r="66" spans="1:12" s="161" customFormat="1" x14ac:dyDescent="0.2">
      <c r="A66" s="122"/>
      <c r="B66" s="163" t="s">
        <v>367</v>
      </c>
      <c r="C66" s="116" t="s">
        <v>3</v>
      </c>
      <c r="D66" s="120">
        <v>9.5</v>
      </c>
      <c r="E66" s="182">
        <v>38.78</v>
      </c>
      <c r="F66" s="147">
        <f>ROUND(E66*$G$2,2)</f>
        <v>47.85</v>
      </c>
      <c r="G66" s="115">
        <f t="shared" si="13"/>
        <v>454.58</v>
      </c>
      <c r="H66" s="273">
        <v>5968</v>
      </c>
      <c r="I66" s="153"/>
      <c r="J66" s="257"/>
      <c r="K66" s="258"/>
      <c r="L66" s="92"/>
    </row>
    <row r="67" spans="1:12" s="161" customFormat="1" ht="22.5" x14ac:dyDescent="0.2">
      <c r="A67" s="122" t="s">
        <v>63</v>
      </c>
      <c r="B67" s="164" t="s">
        <v>228</v>
      </c>
      <c r="C67" s="116" t="s">
        <v>10</v>
      </c>
      <c r="D67" s="120">
        <v>23</v>
      </c>
      <c r="E67" s="182">
        <v>112.63</v>
      </c>
      <c r="F67" s="147">
        <f t="shared" ref="F67:F68" si="14">ROUND(E67*$G$2,2)</f>
        <v>138.99</v>
      </c>
      <c r="G67" s="115">
        <f t="shared" si="13"/>
        <v>3196.77</v>
      </c>
      <c r="H67" s="273">
        <v>94229</v>
      </c>
      <c r="I67" s="153"/>
      <c r="J67" s="257"/>
      <c r="K67" s="258"/>
      <c r="L67" s="92"/>
    </row>
    <row r="68" spans="1:12" s="161" customFormat="1" ht="22.5" x14ac:dyDescent="0.2">
      <c r="A68" s="122" t="s">
        <v>102</v>
      </c>
      <c r="B68" s="117" t="s">
        <v>245</v>
      </c>
      <c r="C68" s="116" t="s">
        <v>10</v>
      </c>
      <c r="D68" s="120">
        <v>34.799999999999997</v>
      </c>
      <c r="E68" s="145">
        <v>30.9</v>
      </c>
      <c r="F68" s="147">
        <f t="shared" si="14"/>
        <v>38.130000000000003</v>
      </c>
      <c r="G68" s="115">
        <f t="shared" si="13"/>
        <v>1326.92</v>
      </c>
      <c r="H68" s="273">
        <v>94231</v>
      </c>
      <c r="I68" s="153"/>
      <c r="J68" s="257"/>
      <c r="K68" s="258"/>
      <c r="L68" s="92"/>
    </row>
    <row r="69" spans="1:12" s="161" customFormat="1" ht="12.75" hidden="1" customHeight="1" x14ac:dyDescent="0.2">
      <c r="A69" s="122" t="s">
        <v>102</v>
      </c>
      <c r="B69" s="117" t="s">
        <v>85</v>
      </c>
      <c r="C69" s="116" t="s">
        <v>7</v>
      </c>
      <c r="D69" s="120"/>
      <c r="E69" s="145">
        <v>44.69</v>
      </c>
      <c r="F69" s="147">
        <f t="shared" ref="F69:F72" si="15">ROUND(E69*$G$2,2)</f>
        <v>55.15</v>
      </c>
      <c r="G69" s="115">
        <f t="shared" si="13"/>
        <v>0</v>
      </c>
      <c r="H69" s="273" t="s">
        <v>118</v>
      </c>
      <c r="I69" s="153"/>
      <c r="J69" s="257"/>
      <c r="K69" s="258"/>
      <c r="L69" s="92"/>
    </row>
    <row r="70" spans="1:12" s="161" customFormat="1" ht="20.25" customHeight="1" x14ac:dyDescent="0.2">
      <c r="A70" s="122" t="s">
        <v>112</v>
      </c>
      <c r="B70" s="238" t="s">
        <v>227</v>
      </c>
      <c r="C70" s="224" t="s">
        <v>3</v>
      </c>
      <c r="D70" s="225">
        <v>164.7</v>
      </c>
      <c r="E70" s="237">
        <v>65.22</v>
      </c>
      <c r="F70" s="227">
        <f t="shared" si="15"/>
        <v>80.48</v>
      </c>
      <c r="G70" s="228">
        <f t="shared" si="13"/>
        <v>13255.06</v>
      </c>
      <c r="H70" s="273">
        <v>72110</v>
      </c>
      <c r="I70" s="153"/>
      <c r="J70" s="257"/>
      <c r="K70" s="258"/>
      <c r="L70" s="92"/>
    </row>
    <row r="71" spans="1:12" s="161" customFormat="1" ht="22.5" x14ac:dyDescent="0.2">
      <c r="A71" s="122" t="s">
        <v>274</v>
      </c>
      <c r="B71" s="238" t="s">
        <v>295</v>
      </c>
      <c r="C71" s="224" t="s">
        <v>3</v>
      </c>
      <c r="D71" s="225">
        <f>164.7</f>
        <v>164.7</v>
      </c>
      <c r="E71" s="237">
        <v>103.11</v>
      </c>
      <c r="F71" s="227">
        <f t="shared" si="15"/>
        <v>127.24</v>
      </c>
      <c r="G71" s="228">
        <f t="shared" si="13"/>
        <v>20956.43</v>
      </c>
      <c r="H71" s="273">
        <v>94216</v>
      </c>
      <c r="I71" s="153"/>
      <c r="J71" s="257"/>
      <c r="K71" s="258"/>
      <c r="L71" s="92"/>
    </row>
    <row r="72" spans="1:12" s="161" customFormat="1" ht="25.5" hidden="1" customHeight="1" x14ac:dyDescent="0.2">
      <c r="A72" s="122" t="s">
        <v>274</v>
      </c>
      <c r="B72" s="164" t="s">
        <v>73</v>
      </c>
      <c r="C72" s="224" t="s">
        <v>3</v>
      </c>
      <c r="D72" s="253">
        <v>0</v>
      </c>
      <c r="E72" s="226">
        <v>81.180000000000007</v>
      </c>
      <c r="F72" s="227">
        <f t="shared" si="15"/>
        <v>100.18</v>
      </c>
      <c r="G72" s="228">
        <f t="shared" si="13"/>
        <v>0</v>
      </c>
      <c r="H72" s="277" t="s">
        <v>116</v>
      </c>
      <c r="I72" s="153"/>
      <c r="J72" s="257"/>
      <c r="K72" s="258"/>
      <c r="L72" s="92"/>
    </row>
    <row r="73" spans="1:12" s="130" customFormat="1" ht="12" customHeight="1" x14ac:dyDescent="0.2">
      <c r="A73" s="121"/>
      <c r="B73" s="119" t="s">
        <v>37</v>
      </c>
      <c r="C73" s="128"/>
      <c r="D73" s="135"/>
      <c r="E73" s="146"/>
      <c r="F73" s="146"/>
      <c r="G73" s="129">
        <f>SUM(G62:G72)</f>
        <v>41410.44</v>
      </c>
      <c r="H73" s="274"/>
      <c r="I73" s="131"/>
      <c r="J73" s="259"/>
      <c r="K73" s="260"/>
      <c r="L73" s="132"/>
    </row>
    <row r="74" spans="1:12" x14ac:dyDescent="0.2">
      <c r="A74" s="121">
        <v>7</v>
      </c>
      <c r="B74" s="168" t="s">
        <v>284</v>
      </c>
      <c r="C74" s="113"/>
      <c r="D74" s="120"/>
      <c r="E74" s="145"/>
      <c r="F74" s="145"/>
      <c r="G74" s="115"/>
      <c r="H74" s="275"/>
      <c r="I74" s="127"/>
      <c r="J74" s="257"/>
      <c r="K74" s="255"/>
      <c r="L74" s="81"/>
    </row>
    <row r="75" spans="1:12" ht="22.5" x14ac:dyDescent="0.2">
      <c r="A75" s="122" t="s">
        <v>64</v>
      </c>
      <c r="B75" s="117" t="s">
        <v>285</v>
      </c>
      <c r="C75" s="116" t="s">
        <v>3</v>
      </c>
      <c r="D75" s="120">
        <f>2*1.4</f>
        <v>2.8</v>
      </c>
      <c r="E75" s="147">
        <v>445.72</v>
      </c>
      <c r="F75" s="147">
        <f t="shared" ref="F75" si="16">ROUND(E75*$G$2,2)</f>
        <v>550.02</v>
      </c>
      <c r="G75" s="115">
        <f t="shared" ref="G75" si="17">ROUND(F75*D75,2)</f>
        <v>1540.06</v>
      </c>
      <c r="H75" s="273">
        <v>94579</v>
      </c>
      <c r="I75" s="127"/>
      <c r="J75" s="257"/>
      <c r="K75" s="255"/>
      <c r="L75" s="92"/>
    </row>
    <row r="76" spans="1:12" x14ac:dyDescent="0.2">
      <c r="A76" s="122" t="s">
        <v>65</v>
      </c>
      <c r="B76" s="117" t="s">
        <v>375</v>
      </c>
      <c r="C76" s="116" t="s">
        <v>3</v>
      </c>
      <c r="D76" s="120">
        <v>1.68</v>
      </c>
      <c r="E76" s="145">
        <v>754.27</v>
      </c>
      <c r="F76" s="147">
        <f t="shared" ref="F76:F78" si="18">ROUND(E76*$G$2,2)</f>
        <v>930.77</v>
      </c>
      <c r="G76" s="115">
        <f t="shared" ref="G76:G78" si="19">ROUND(F76*D76,2)</f>
        <v>1563.69</v>
      </c>
      <c r="H76" s="273">
        <v>91341</v>
      </c>
      <c r="I76" s="127"/>
      <c r="J76" s="257"/>
      <c r="K76" s="255"/>
      <c r="L76" s="92"/>
    </row>
    <row r="77" spans="1:12" ht="23.25" customHeight="1" x14ac:dyDescent="0.2">
      <c r="A77" s="122" t="s">
        <v>286</v>
      </c>
      <c r="B77" s="117" t="s">
        <v>374</v>
      </c>
      <c r="C77" s="116" t="s">
        <v>3</v>
      </c>
      <c r="D77" s="120">
        <f>7.7</f>
        <v>7.7</v>
      </c>
      <c r="E77" s="145">
        <v>640.88</v>
      </c>
      <c r="F77" s="147">
        <f t="shared" si="18"/>
        <v>790.85</v>
      </c>
      <c r="G77" s="115">
        <f t="shared" si="19"/>
        <v>6089.55</v>
      </c>
      <c r="H77" s="273">
        <v>68050</v>
      </c>
      <c r="I77" s="127"/>
      <c r="J77" s="257"/>
      <c r="K77" s="255"/>
      <c r="L77" s="92"/>
    </row>
    <row r="78" spans="1:12" x14ac:dyDescent="0.2">
      <c r="A78" s="122" t="s">
        <v>372</v>
      </c>
      <c r="B78" s="117" t="s">
        <v>376</v>
      </c>
      <c r="C78" s="116" t="s">
        <v>3</v>
      </c>
      <c r="D78" s="120">
        <v>1.68</v>
      </c>
      <c r="E78" s="145">
        <v>754.27</v>
      </c>
      <c r="F78" s="147">
        <f t="shared" si="18"/>
        <v>930.77</v>
      </c>
      <c r="G78" s="115">
        <f t="shared" si="19"/>
        <v>1563.69</v>
      </c>
      <c r="H78" s="273">
        <v>91341</v>
      </c>
      <c r="I78" s="127"/>
      <c r="J78" s="257"/>
      <c r="K78" s="255"/>
      <c r="L78" s="92"/>
    </row>
    <row r="79" spans="1:12" s="133" customFormat="1" x14ac:dyDescent="0.2">
      <c r="A79" s="121"/>
      <c r="B79" s="119" t="s">
        <v>37</v>
      </c>
      <c r="C79" s="128"/>
      <c r="D79" s="135"/>
      <c r="E79" s="146"/>
      <c r="F79" s="146"/>
      <c r="G79" s="129">
        <f>SUM(G75:G78)</f>
        <v>10756.99</v>
      </c>
      <c r="H79" s="274"/>
      <c r="I79" s="131"/>
      <c r="J79" s="259"/>
      <c r="K79" s="261"/>
      <c r="L79" s="132"/>
    </row>
    <row r="80" spans="1:12" x14ac:dyDescent="0.2">
      <c r="A80" s="121">
        <v>8</v>
      </c>
      <c r="B80" s="168" t="s">
        <v>44</v>
      </c>
      <c r="C80" s="116"/>
      <c r="D80" s="120"/>
      <c r="E80" s="145"/>
      <c r="F80" s="145"/>
      <c r="G80" s="115"/>
      <c r="H80" s="275"/>
      <c r="I80" s="127"/>
      <c r="J80" s="257"/>
      <c r="K80" s="255"/>
      <c r="L80" s="81"/>
    </row>
    <row r="81" spans="1:12" x14ac:dyDescent="0.2">
      <c r="A81" s="116" t="s">
        <v>18</v>
      </c>
      <c r="B81" s="248" t="s">
        <v>388</v>
      </c>
      <c r="C81" s="122" t="s">
        <v>10</v>
      </c>
      <c r="D81" s="120">
        <f>6*2</f>
        <v>12</v>
      </c>
      <c r="E81" s="145">
        <v>20.48</v>
      </c>
      <c r="F81" s="147">
        <f t="shared" ref="F81:F82" si="20">ROUND(E81*$G$2,2)</f>
        <v>25.27</v>
      </c>
      <c r="G81" s="115">
        <f t="shared" ref="G81:G82" si="21">ROUND(F81*D81,2)</f>
        <v>303.24</v>
      </c>
      <c r="H81" s="278">
        <v>89578</v>
      </c>
      <c r="I81" s="127"/>
      <c r="J81" s="257"/>
      <c r="K81" s="255"/>
      <c r="L81" s="81"/>
    </row>
    <row r="82" spans="1:12" x14ac:dyDescent="0.2">
      <c r="A82" s="116" t="s">
        <v>49</v>
      </c>
      <c r="B82" s="248" t="s">
        <v>389</v>
      </c>
      <c r="C82" s="122" t="s">
        <v>10</v>
      </c>
      <c r="D82" s="120">
        <v>2.4</v>
      </c>
      <c r="E82" s="145">
        <v>3.21</v>
      </c>
      <c r="F82" s="147">
        <f t="shared" si="20"/>
        <v>3.96</v>
      </c>
      <c r="G82" s="115">
        <f t="shared" si="21"/>
        <v>9.5</v>
      </c>
      <c r="H82" s="279">
        <v>91175</v>
      </c>
      <c r="I82" s="127"/>
      <c r="J82" s="257"/>
      <c r="K82" s="255"/>
      <c r="L82" s="81"/>
    </row>
    <row r="83" spans="1:12" x14ac:dyDescent="0.2">
      <c r="A83" s="116" t="s">
        <v>239</v>
      </c>
      <c r="B83" s="248" t="s">
        <v>390</v>
      </c>
      <c r="C83" s="122" t="s">
        <v>43</v>
      </c>
      <c r="D83" s="120">
        <f>3*2</f>
        <v>6</v>
      </c>
      <c r="E83" s="145">
        <v>28.22</v>
      </c>
      <c r="F83" s="147">
        <f t="shared" ref="F83" si="22">ROUND(E83*$G$2,2)</f>
        <v>34.82</v>
      </c>
      <c r="G83" s="115">
        <f t="shared" ref="G83" si="23">ROUND(F83*D83,2)</f>
        <v>208.92</v>
      </c>
      <c r="H83" s="278">
        <v>89584</v>
      </c>
      <c r="I83" s="127"/>
      <c r="J83" s="257"/>
      <c r="K83" s="255"/>
      <c r="L83" s="95"/>
    </row>
    <row r="84" spans="1:12" s="133" customFormat="1" x14ac:dyDescent="0.2">
      <c r="A84" s="128"/>
      <c r="B84" s="119" t="s">
        <v>37</v>
      </c>
      <c r="C84" s="128"/>
      <c r="D84" s="135"/>
      <c r="E84" s="146"/>
      <c r="F84" s="146"/>
      <c r="G84" s="129">
        <f>SUM(G81:G83)</f>
        <v>521.66</v>
      </c>
      <c r="H84" s="274"/>
      <c r="I84" s="131"/>
      <c r="J84" s="257"/>
      <c r="K84" s="261"/>
      <c r="L84" s="132"/>
    </row>
    <row r="85" spans="1:12" s="93" customFormat="1" x14ac:dyDescent="0.2">
      <c r="A85" s="121">
        <v>9</v>
      </c>
      <c r="B85" s="168" t="s">
        <v>48</v>
      </c>
      <c r="C85" s="113"/>
      <c r="D85" s="120"/>
      <c r="E85" s="145"/>
      <c r="F85" s="145"/>
      <c r="G85" s="115"/>
      <c r="H85" s="275"/>
      <c r="I85" s="127"/>
      <c r="J85" s="257"/>
      <c r="K85" s="258"/>
      <c r="L85" s="92"/>
    </row>
    <row r="86" spans="1:12" s="93" customFormat="1" ht="22.5" x14ac:dyDescent="0.2">
      <c r="A86" s="116" t="s">
        <v>19</v>
      </c>
      <c r="B86" s="248" t="s">
        <v>408</v>
      </c>
      <c r="C86" s="122" t="s">
        <v>43</v>
      </c>
      <c r="D86" s="120">
        <v>1</v>
      </c>
      <c r="E86" s="145">
        <v>86.96</v>
      </c>
      <c r="F86" s="147">
        <f t="shared" ref="F86:F104" si="24">ROUND(E86*$G$2,2)</f>
        <v>107.31</v>
      </c>
      <c r="G86" s="115">
        <f t="shared" ref="G86:G104" si="25">ROUND(F86*D86,2)</f>
        <v>107.31</v>
      </c>
      <c r="H86" s="278">
        <v>84402</v>
      </c>
      <c r="I86" s="127"/>
      <c r="J86" s="257"/>
      <c r="K86" s="258"/>
      <c r="L86" s="92"/>
    </row>
    <row r="87" spans="1:12" s="93" customFormat="1" x14ac:dyDescent="0.2">
      <c r="A87" s="116" t="s">
        <v>50</v>
      </c>
      <c r="B87" s="248" t="s">
        <v>300</v>
      </c>
      <c r="C87" s="122" t="s">
        <v>43</v>
      </c>
      <c r="D87" s="120">
        <v>1</v>
      </c>
      <c r="E87" s="145">
        <v>987.38</v>
      </c>
      <c r="F87" s="147">
        <f t="shared" si="24"/>
        <v>1218.43</v>
      </c>
      <c r="G87" s="115">
        <f t="shared" si="25"/>
        <v>1218.43</v>
      </c>
      <c r="H87" s="278">
        <v>83372</v>
      </c>
      <c r="I87" s="127"/>
      <c r="J87" s="257"/>
      <c r="K87" s="258"/>
      <c r="L87" s="92"/>
    </row>
    <row r="88" spans="1:12" s="93" customFormat="1" x14ac:dyDescent="0.2">
      <c r="A88" s="116" t="s">
        <v>165</v>
      </c>
      <c r="B88" s="248" t="s">
        <v>301</v>
      </c>
      <c r="C88" s="122" t="s">
        <v>43</v>
      </c>
      <c r="D88" s="120">
        <v>3</v>
      </c>
      <c r="E88" s="145">
        <v>39.450000000000003</v>
      </c>
      <c r="F88" s="147">
        <f t="shared" si="24"/>
        <v>48.68</v>
      </c>
      <c r="G88" s="115">
        <f t="shared" si="25"/>
        <v>146.04</v>
      </c>
      <c r="H88" s="278">
        <v>96985</v>
      </c>
      <c r="I88" s="127"/>
      <c r="J88" s="257"/>
      <c r="K88" s="258"/>
      <c r="L88" s="92"/>
    </row>
    <row r="89" spans="1:12" s="93" customFormat="1" x14ac:dyDescent="0.2">
      <c r="A89" s="116" t="s">
        <v>166</v>
      </c>
      <c r="B89" s="248" t="s">
        <v>302</v>
      </c>
      <c r="C89" s="122" t="s">
        <v>43</v>
      </c>
      <c r="D89" s="120">
        <v>3</v>
      </c>
      <c r="E89" s="145">
        <v>14.11</v>
      </c>
      <c r="F89" s="147">
        <f t="shared" si="24"/>
        <v>17.41</v>
      </c>
      <c r="G89" s="115">
        <f t="shared" si="25"/>
        <v>52.23</v>
      </c>
      <c r="H89" s="278">
        <v>93654</v>
      </c>
      <c r="I89" s="127"/>
      <c r="J89" s="257"/>
      <c r="K89" s="258"/>
      <c r="L89" s="92"/>
    </row>
    <row r="90" spans="1:12" s="93" customFormat="1" hidden="1" x14ac:dyDescent="0.2">
      <c r="A90" s="116"/>
      <c r="B90" s="248"/>
      <c r="C90" s="122" t="s">
        <v>43</v>
      </c>
      <c r="D90" s="120"/>
      <c r="E90" s="145">
        <v>14.36</v>
      </c>
      <c r="F90" s="147">
        <f t="shared" si="24"/>
        <v>17.72</v>
      </c>
      <c r="G90" s="115">
        <f t="shared" si="25"/>
        <v>0</v>
      </c>
      <c r="H90" s="278">
        <v>93655</v>
      </c>
      <c r="I90" s="127"/>
      <c r="J90" s="257"/>
      <c r="K90" s="258"/>
      <c r="L90" s="92"/>
    </row>
    <row r="91" spans="1:12" s="93" customFormat="1" x14ac:dyDescent="0.2">
      <c r="A91" s="116" t="s">
        <v>198</v>
      </c>
      <c r="B91" s="248" t="s">
        <v>303</v>
      </c>
      <c r="C91" s="122" t="s">
        <v>43</v>
      </c>
      <c r="D91" s="120">
        <v>1</v>
      </c>
      <c r="E91" s="145">
        <v>15.18</v>
      </c>
      <c r="F91" s="147">
        <f t="shared" si="24"/>
        <v>18.73</v>
      </c>
      <c r="G91" s="115">
        <f t="shared" si="25"/>
        <v>18.73</v>
      </c>
      <c r="H91" s="278">
        <v>93656</v>
      </c>
      <c r="I91" s="127"/>
      <c r="J91" s="257"/>
      <c r="K91" s="258"/>
      <c r="L91" s="92"/>
    </row>
    <row r="92" spans="1:12" s="93" customFormat="1" ht="22.5" x14ac:dyDescent="0.2">
      <c r="A92" s="116" t="s">
        <v>199</v>
      </c>
      <c r="B92" s="248" t="s">
        <v>304</v>
      </c>
      <c r="C92" s="122" t="s">
        <v>10</v>
      </c>
      <c r="D92" s="120">
        <v>133</v>
      </c>
      <c r="E92" s="145">
        <v>8.5399999999999991</v>
      </c>
      <c r="F92" s="147">
        <f t="shared" si="24"/>
        <v>10.54</v>
      </c>
      <c r="G92" s="115">
        <f t="shared" si="25"/>
        <v>1401.82</v>
      </c>
      <c r="H92" s="278">
        <v>91854</v>
      </c>
      <c r="I92" s="127"/>
      <c r="J92" s="257"/>
      <c r="K92" s="258"/>
      <c r="L92" s="92"/>
    </row>
    <row r="93" spans="1:12" s="93" customFormat="1" hidden="1" x14ac:dyDescent="0.2">
      <c r="A93" s="116"/>
      <c r="B93" s="248"/>
      <c r="C93" s="122" t="s">
        <v>10</v>
      </c>
      <c r="D93" s="120"/>
      <c r="E93" s="145">
        <v>3.63</v>
      </c>
      <c r="F93" s="147">
        <f t="shared" si="24"/>
        <v>4.4800000000000004</v>
      </c>
      <c r="G93" s="115">
        <f t="shared" si="25"/>
        <v>0</v>
      </c>
      <c r="H93" s="278">
        <v>937</v>
      </c>
      <c r="I93" s="127"/>
      <c r="J93" s="257"/>
      <c r="K93" s="258"/>
      <c r="L93" s="92"/>
    </row>
    <row r="94" spans="1:12" s="93" customFormat="1" x14ac:dyDescent="0.2">
      <c r="A94" s="116" t="s">
        <v>200</v>
      </c>
      <c r="B94" s="248" t="s">
        <v>305</v>
      </c>
      <c r="C94" s="122" t="s">
        <v>10</v>
      </c>
      <c r="D94" s="120">
        <v>400</v>
      </c>
      <c r="E94" s="145">
        <v>1.07</v>
      </c>
      <c r="F94" s="147">
        <f t="shared" si="24"/>
        <v>1.32</v>
      </c>
      <c r="G94" s="115">
        <f t="shared" si="25"/>
        <v>528</v>
      </c>
      <c r="H94" s="278">
        <v>939</v>
      </c>
      <c r="I94" s="127"/>
      <c r="J94" s="257"/>
      <c r="K94" s="258"/>
      <c r="L94" s="92"/>
    </row>
    <row r="95" spans="1:12" s="93" customFormat="1" x14ac:dyDescent="0.2">
      <c r="A95" s="116" t="s">
        <v>201</v>
      </c>
      <c r="B95" s="248" t="s">
        <v>306</v>
      </c>
      <c r="C95" s="122" t="s">
        <v>10</v>
      </c>
      <c r="D95" s="120">
        <v>40</v>
      </c>
      <c r="E95" s="145">
        <v>2.5299999999999998</v>
      </c>
      <c r="F95" s="147">
        <f t="shared" si="24"/>
        <v>3.12</v>
      </c>
      <c r="G95" s="115">
        <f t="shared" si="25"/>
        <v>124.8</v>
      </c>
      <c r="H95" s="278">
        <v>940</v>
      </c>
      <c r="I95" s="127"/>
      <c r="J95" s="257"/>
      <c r="K95" s="258"/>
      <c r="L95" s="92"/>
    </row>
    <row r="96" spans="1:12" s="93" customFormat="1" x14ac:dyDescent="0.2">
      <c r="A96" s="116" t="s">
        <v>202</v>
      </c>
      <c r="B96" s="248" t="s">
        <v>395</v>
      </c>
      <c r="C96" s="122" t="s">
        <v>43</v>
      </c>
      <c r="D96" s="120">
        <v>13</v>
      </c>
      <c r="E96" s="145">
        <v>80.209999999999994</v>
      </c>
      <c r="F96" s="147">
        <f t="shared" si="24"/>
        <v>98.98</v>
      </c>
      <c r="G96" s="115">
        <f t="shared" si="25"/>
        <v>1286.74</v>
      </c>
      <c r="H96" s="278">
        <v>97586</v>
      </c>
      <c r="I96" s="127"/>
      <c r="J96" s="257"/>
      <c r="K96" s="258"/>
      <c r="L96" s="92"/>
    </row>
    <row r="97" spans="1:12" s="93" customFormat="1" x14ac:dyDescent="0.2">
      <c r="A97" s="116" t="s">
        <v>203</v>
      </c>
      <c r="B97" s="248" t="s">
        <v>307</v>
      </c>
      <c r="C97" s="122" t="s">
        <v>43</v>
      </c>
      <c r="D97" s="120">
        <v>13</v>
      </c>
      <c r="E97" s="145">
        <v>11.36</v>
      </c>
      <c r="F97" s="147">
        <f t="shared" si="24"/>
        <v>14.02</v>
      </c>
      <c r="G97" s="115">
        <f t="shared" si="25"/>
        <v>182.26</v>
      </c>
      <c r="H97" s="278">
        <v>91936</v>
      </c>
      <c r="I97" s="127"/>
      <c r="J97" s="257"/>
      <c r="K97" s="258"/>
      <c r="L97" s="92"/>
    </row>
    <row r="98" spans="1:12" s="93" customFormat="1" hidden="1" x14ac:dyDescent="0.2">
      <c r="A98" s="116"/>
      <c r="B98" s="248"/>
      <c r="C98" s="122" t="s">
        <v>43</v>
      </c>
      <c r="D98" s="120"/>
      <c r="E98" s="145">
        <v>29.29</v>
      </c>
      <c r="F98" s="147">
        <f t="shared" si="24"/>
        <v>36.14</v>
      </c>
      <c r="G98" s="115">
        <f t="shared" si="25"/>
        <v>0</v>
      </c>
      <c r="H98" s="278">
        <v>38769</v>
      </c>
      <c r="I98" s="127"/>
      <c r="J98" s="257"/>
      <c r="K98" s="258"/>
      <c r="L98" s="92"/>
    </row>
    <row r="99" spans="1:12" s="93" customFormat="1" hidden="1" x14ac:dyDescent="0.2">
      <c r="A99" s="116"/>
      <c r="B99" s="248"/>
      <c r="C99" s="122" t="s">
        <v>43</v>
      </c>
      <c r="D99" s="120"/>
      <c r="E99" s="145">
        <v>98.32</v>
      </c>
      <c r="F99" s="147">
        <f t="shared" si="24"/>
        <v>121.33</v>
      </c>
      <c r="G99" s="115">
        <f t="shared" si="25"/>
        <v>0</v>
      </c>
      <c r="H99" s="280" t="s">
        <v>312</v>
      </c>
      <c r="I99" s="127"/>
      <c r="J99" s="257"/>
      <c r="K99" s="258"/>
      <c r="L99" s="92"/>
    </row>
    <row r="100" spans="1:12" s="93" customFormat="1" x14ac:dyDescent="0.2">
      <c r="A100" s="116" t="s">
        <v>204</v>
      </c>
      <c r="B100" s="248" t="s">
        <v>308</v>
      </c>
      <c r="C100" s="122" t="s">
        <v>43</v>
      </c>
      <c r="D100" s="120">
        <v>13</v>
      </c>
      <c r="E100" s="145">
        <v>29.89</v>
      </c>
      <c r="F100" s="147">
        <f t="shared" si="24"/>
        <v>36.880000000000003</v>
      </c>
      <c r="G100" s="115">
        <f t="shared" si="25"/>
        <v>479.44</v>
      </c>
      <c r="H100" s="278">
        <v>91996</v>
      </c>
      <c r="I100" s="127"/>
      <c r="J100" s="257"/>
      <c r="K100" s="258"/>
      <c r="L100" s="92"/>
    </row>
    <row r="101" spans="1:12" s="93" customFormat="1" x14ac:dyDescent="0.2">
      <c r="A101" s="116" t="s">
        <v>205</v>
      </c>
      <c r="B101" s="248" t="s">
        <v>309</v>
      </c>
      <c r="C101" s="122" t="s">
        <v>43</v>
      </c>
      <c r="D101" s="120">
        <v>3</v>
      </c>
      <c r="E101" s="145">
        <v>41.32</v>
      </c>
      <c r="F101" s="147">
        <f t="shared" si="24"/>
        <v>50.99</v>
      </c>
      <c r="G101" s="115">
        <f t="shared" si="25"/>
        <v>152.97</v>
      </c>
      <c r="H101" s="278">
        <v>91993</v>
      </c>
      <c r="I101" s="127"/>
      <c r="J101" s="257"/>
      <c r="K101" s="258"/>
      <c r="L101" s="92"/>
    </row>
    <row r="102" spans="1:12" s="93" customFormat="1" x14ac:dyDescent="0.2">
      <c r="A102" s="116" t="s">
        <v>206</v>
      </c>
      <c r="B102" s="248" t="s">
        <v>310</v>
      </c>
      <c r="C102" s="122" t="s">
        <v>43</v>
      </c>
      <c r="D102" s="120">
        <v>5</v>
      </c>
      <c r="E102" s="145">
        <v>31.82</v>
      </c>
      <c r="F102" s="147">
        <f t="shared" si="24"/>
        <v>39.270000000000003</v>
      </c>
      <c r="G102" s="115">
        <f t="shared" si="25"/>
        <v>196.35</v>
      </c>
      <c r="H102" s="278">
        <v>91997</v>
      </c>
      <c r="I102" s="127"/>
      <c r="J102" s="257"/>
      <c r="K102" s="258"/>
      <c r="L102" s="92"/>
    </row>
    <row r="103" spans="1:12" s="93" customFormat="1" hidden="1" x14ac:dyDescent="0.2">
      <c r="A103" s="116"/>
      <c r="B103" s="248"/>
      <c r="C103" s="122" t="s">
        <v>43</v>
      </c>
      <c r="D103" s="120"/>
      <c r="E103" s="145">
        <v>47.58</v>
      </c>
      <c r="F103" s="147">
        <f t="shared" si="24"/>
        <v>58.71</v>
      </c>
      <c r="G103" s="115">
        <f t="shared" si="25"/>
        <v>0</v>
      </c>
      <c r="H103" s="281">
        <v>92029</v>
      </c>
      <c r="I103" s="127"/>
      <c r="J103" s="257"/>
      <c r="K103" s="258"/>
      <c r="L103" s="92"/>
    </row>
    <row r="104" spans="1:12" s="93" customFormat="1" x14ac:dyDescent="0.2">
      <c r="A104" s="116" t="s">
        <v>313</v>
      </c>
      <c r="B104" s="248" t="s">
        <v>311</v>
      </c>
      <c r="C104" s="122" t="s">
        <v>43</v>
      </c>
      <c r="D104" s="120">
        <v>3</v>
      </c>
      <c r="E104" s="145">
        <v>44.23</v>
      </c>
      <c r="F104" s="147">
        <f t="shared" si="24"/>
        <v>54.58</v>
      </c>
      <c r="G104" s="115">
        <f t="shared" si="25"/>
        <v>163.74</v>
      </c>
      <c r="H104" s="281">
        <v>92023</v>
      </c>
      <c r="I104" s="127"/>
      <c r="J104" s="257"/>
      <c r="K104" s="258"/>
      <c r="L104" s="92"/>
    </row>
    <row r="105" spans="1:12" s="93" customFormat="1" hidden="1" x14ac:dyDescent="0.2">
      <c r="A105" s="123" t="s">
        <v>19</v>
      </c>
      <c r="B105" s="117" t="s">
        <v>294</v>
      </c>
      <c r="C105" s="116" t="s">
        <v>43</v>
      </c>
      <c r="D105" s="120"/>
      <c r="E105" s="145">
        <v>3000</v>
      </c>
      <c r="F105" s="147">
        <f t="shared" ref="F105:F118" si="26">ROUND(E105*$G$2,2)</f>
        <v>3702</v>
      </c>
      <c r="G105" s="115">
        <f t="shared" ref="G105:G118" si="27">ROUND(F105*D105,2)</f>
        <v>0</v>
      </c>
      <c r="H105" s="275"/>
      <c r="I105" s="127"/>
      <c r="J105" s="257"/>
      <c r="K105" s="258"/>
      <c r="L105" s="92"/>
    </row>
    <row r="106" spans="1:12" s="93" customFormat="1" hidden="1" x14ac:dyDescent="0.2">
      <c r="A106" s="123" t="s">
        <v>19</v>
      </c>
      <c r="B106" s="117" t="s">
        <v>92</v>
      </c>
      <c r="C106" s="116" t="s">
        <v>43</v>
      </c>
      <c r="D106" s="120"/>
      <c r="E106" s="145">
        <v>5.85</v>
      </c>
      <c r="F106" s="147">
        <f t="shared" si="26"/>
        <v>7.22</v>
      </c>
      <c r="G106" s="115">
        <f t="shared" si="27"/>
        <v>0</v>
      </c>
      <c r="H106" s="273" t="s">
        <v>99</v>
      </c>
      <c r="I106" s="127"/>
      <c r="J106" s="257"/>
      <c r="K106" s="258"/>
      <c r="L106" s="92"/>
    </row>
    <row r="107" spans="1:12" s="93" customFormat="1" hidden="1" x14ac:dyDescent="0.2">
      <c r="A107" s="123" t="s">
        <v>50</v>
      </c>
      <c r="B107" s="117" t="s">
        <v>89</v>
      </c>
      <c r="C107" s="116" t="s">
        <v>43</v>
      </c>
      <c r="D107" s="120"/>
      <c r="E107" s="145">
        <v>9.3699999999999992</v>
      </c>
      <c r="F107" s="147">
        <f t="shared" si="26"/>
        <v>11.56</v>
      </c>
      <c r="G107" s="115">
        <f t="shared" si="27"/>
        <v>0</v>
      </c>
      <c r="H107" s="273" t="s">
        <v>121</v>
      </c>
      <c r="I107" s="127"/>
      <c r="J107" s="257"/>
      <c r="K107" s="258"/>
      <c r="L107" s="92"/>
    </row>
    <row r="108" spans="1:12" s="93" customFormat="1" hidden="1" x14ac:dyDescent="0.2">
      <c r="A108" s="123" t="s">
        <v>165</v>
      </c>
      <c r="B108" s="117" t="s">
        <v>122</v>
      </c>
      <c r="C108" s="116" t="s">
        <v>43</v>
      </c>
      <c r="D108" s="120"/>
      <c r="E108" s="145">
        <v>9.3699999999999992</v>
      </c>
      <c r="F108" s="147">
        <f t="shared" si="26"/>
        <v>11.56</v>
      </c>
      <c r="G108" s="115">
        <f t="shared" si="27"/>
        <v>0</v>
      </c>
      <c r="H108" s="273" t="s">
        <v>123</v>
      </c>
      <c r="I108" s="127"/>
      <c r="J108" s="257"/>
      <c r="K108" s="258"/>
      <c r="L108" s="92"/>
    </row>
    <row r="109" spans="1:12" s="93" customFormat="1" hidden="1" x14ac:dyDescent="0.2">
      <c r="A109" s="123" t="s">
        <v>166</v>
      </c>
      <c r="B109" s="117" t="s">
        <v>125</v>
      </c>
      <c r="C109" s="116" t="s">
        <v>43</v>
      </c>
      <c r="D109" s="120"/>
      <c r="E109" s="145">
        <v>175.98</v>
      </c>
      <c r="F109" s="147">
        <f t="shared" si="26"/>
        <v>217.16</v>
      </c>
      <c r="G109" s="115">
        <f t="shared" si="27"/>
        <v>0</v>
      </c>
      <c r="H109" s="273" t="s">
        <v>124</v>
      </c>
      <c r="I109" s="153"/>
      <c r="J109" s="257"/>
      <c r="K109" s="258"/>
      <c r="L109" s="92"/>
    </row>
    <row r="110" spans="1:12" s="93" customFormat="1" hidden="1" x14ac:dyDescent="0.2">
      <c r="A110" s="123" t="s">
        <v>198</v>
      </c>
      <c r="B110" s="117" t="s">
        <v>90</v>
      </c>
      <c r="C110" s="116" t="s">
        <v>10</v>
      </c>
      <c r="D110" s="120"/>
      <c r="E110" s="145">
        <v>2.99</v>
      </c>
      <c r="F110" s="147">
        <f t="shared" si="26"/>
        <v>3.69</v>
      </c>
      <c r="G110" s="115">
        <f t="shared" si="27"/>
        <v>0</v>
      </c>
      <c r="H110" s="273" t="s">
        <v>126</v>
      </c>
      <c r="I110" s="127"/>
      <c r="J110" s="257"/>
      <c r="K110" s="258"/>
      <c r="L110" s="92"/>
    </row>
    <row r="111" spans="1:12" s="93" customFormat="1" hidden="1" x14ac:dyDescent="0.2">
      <c r="A111" s="123" t="s">
        <v>199</v>
      </c>
      <c r="B111" s="117" t="s">
        <v>91</v>
      </c>
      <c r="C111" s="116" t="s">
        <v>10</v>
      </c>
      <c r="D111" s="120"/>
      <c r="E111" s="145">
        <v>4.42</v>
      </c>
      <c r="F111" s="147">
        <f t="shared" si="26"/>
        <v>5.45</v>
      </c>
      <c r="G111" s="115">
        <f t="shared" si="27"/>
        <v>0</v>
      </c>
      <c r="H111" s="273" t="s">
        <v>127</v>
      </c>
      <c r="I111" s="127"/>
      <c r="J111" s="257"/>
      <c r="K111" s="258"/>
      <c r="L111" s="92"/>
    </row>
    <row r="112" spans="1:12" s="93" customFormat="1" hidden="1" x14ac:dyDescent="0.2">
      <c r="A112" s="123" t="s">
        <v>200</v>
      </c>
      <c r="B112" s="117" t="s">
        <v>143</v>
      </c>
      <c r="C112" s="116" t="s">
        <v>10</v>
      </c>
      <c r="D112" s="120"/>
      <c r="E112" s="145">
        <v>5.95</v>
      </c>
      <c r="F112" s="147">
        <f t="shared" si="26"/>
        <v>7.34</v>
      </c>
      <c r="G112" s="115">
        <f t="shared" si="27"/>
        <v>0</v>
      </c>
      <c r="H112" s="273" t="s">
        <v>144</v>
      </c>
      <c r="I112" s="127"/>
      <c r="J112" s="257"/>
      <c r="K112" s="258"/>
      <c r="L112" s="92"/>
    </row>
    <row r="113" spans="1:12" s="93" customFormat="1" hidden="1" x14ac:dyDescent="0.2">
      <c r="A113" s="123" t="s">
        <v>201</v>
      </c>
      <c r="B113" s="117" t="s">
        <v>93</v>
      </c>
      <c r="C113" s="116" t="s">
        <v>43</v>
      </c>
      <c r="D113" s="120"/>
      <c r="E113" s="145">
        <v>11.41</v>
      </c>
      <c r="F113" s="147">
        <f t="shared" si="26"/>
        <v>14.08</v>
      </c>
      <c r="G113" s="115">
        <f t="shared" si="27"/>
        <v>0</v>
      </c>
      <c r="H113" s="273" t="s">
        <v>128</v>
      </c>
      <c r="I113" s="127"/>
      <c r="J113" s="257"/>
      <c r="K113" s="258"/>
      <c r="L113" s="92"/>
    </row>
    <row r="114" spans="1:12" s="93" customFormat="1" hidden="1" x14ac:dyDescent="0.2">
      <c r="A114" s="123" t="s">
        <v>202</v>
      </c>
      <c r="B114" s="117" t="s">
        <v>94</v>
      </c>
      <c r="C114" s="116" t="s">
        <v>43</v>
      </c>
      <c r="D114" s="120"/>
      <c r="E114" s="145">
        <v>50.26</v>
      </c>
      <c r="F114" s="147">
        <f t="shared" si="26"/>
        <v>62.02</v>
      </c>
      <c r="G114" s="115">
        <f t="shared" si="27"/>
        <v>0</v>
      </c>
      <c r="H114" s="273" t="s">
        <v>129</v>
      </c>
      <c r="I114" s="127"/>
      <c r="J114" s="257"/>
      <c r="K114" s="258"/>
      <c r="L114" s="92"/>
    </row>
    <row r="115" spans="1:12" s="93" customFormat="1" hidden="1" x14ac:dyDescent="0.2">
      <c r="A115" s="123" t="s">
        <v>203</v>
      </c>
      <c r="B115" s="117" t="s">
        <v>95</v>
      </c>
      <c r="C115" s="116" t="s">
        <v>43</v>
      </c>
      <c r="D115" s="120"/>
      <c r="E115" s="145">
        <v>50.39</v>
      </c>
      <c r="F115" s="147">
        <f t="shared" si="26"/>
        <v>62.18</v>
      </c>
      <c r="G115" s="115">
        <f t="shared" si="27"/>
        <v>0</v>
      </c>
      <c r="H115" s="273" t="s">
        <v>130</v>
      </c>
      <c r="I115" s="127"/>
      <c r="J115" s="257"/>
      <c r="K115" s="258"/>
      <c r="L115" s="92"/>
    </row>
    <row r="116" spans="1:12" s="93" customFormat="1" hidden="1" x14ac:dyDescent="0.2">
      <c r="A116" s="123" t="s">
        <v>204</v>
      </c>
      <c r="B116" s="117" t="s">
        <v>96</v>
      </c>
      <c r="C116" s="116" t="s">
        <v>10</v>
      </c>
      <c r="D116" s="120"/>
      <c r="E116" s="145">
        <v>6.51</v>
      </c>
      <c r="F116" s="147">
        <f t="shared" si="26"/>
        <v>8.0299999999999994</v>
      </c>
      <c r="G116" s="115">
        <f t="shared" si="27"/>
        <v>0</v>
      </c>
      <c r="H116" s="273" t="s">
        <v>131</v>
      </c>
      <c r="I116" s="127"/>
      <c r="J116" s="257"/>
      <c r="K116" s="258"/>
      <c r="L116" s="92"/>
    </row>
    <row r="117" spans="1:12" s="93" customFormat="1" hidden="1" x14ac:dyDescent="0.2">
      <c r="A117" s="123" t="s">
        <v>205</v>
      </c>
      <c r="B117" s="117" t="s">
        <v>100</v>
      </c>
      <c r="C117" s="116" t="s">
        <v>10</v>
      </c>
      <c r="D117" s="120"/>
      <c r="E117" s="145">
        <v>3.97</v>
      </c>
      <c r="F117" s="147">
        <f t="shared" si="26"/>
        <v>4.9000000000000004</v>
      </c>
      <c r="G117" s="115">
        <f t="shared" si="27"/>
        <v>0</v>
      </c>
      <c r="H117" s="273" t="s">
        <v>132</v>
      </c>
      <c r="I117" s="127"/>
      <c r="J117" s="257"/>
      <c r="K117" s="258"/>
      <c r="L117" s="92"/>
    </row>
    <row r="118" spans="1:12" s="93" customFormat="1" hidden="1" x14ac:dyDescent="0.2">
      <c r="A118" s="123" t="s">
        <v>206</v>
      </c>
      <c r="B118" s="167" t="s">
        <v>97</v>
      </c>
      <c r="C118" s="116" t="s">
        <v>10</v>
      </c>
      <c r="D118" s="120"/>
      <c r="E118" s="145">
        <v>24.49</v>
      </c>
      <c r="F118" s="147">
        <f t="shared" si="26"/>
        <v>30.22</v>
      </c>
      <c r="G118" s="115">
        <f t="shared" si="27"/>
        <v>0</v>
      </c>
      <c r="H118" s="273" t="s">
        <v>101</v>
      </c>
      <c r="I118" s="127"/>
      <c r="J118" s="257"/>
      <c r="K118" s="258"/>
      <c r="L118" s="92"/>
    </row>
    <row r="119" spans="1:12" s="133" customFormat="1" x14ac:dyDescent="0.2">
      <c r="A119" s="128"/>
      <c r="B119" s="119" t="s">
        <v>37</v>
      </c>
      <c r="C119" s="128"/>
      <c r="D119" s="135"/>
      <c r="E119" s="146"/>
      <c r="F119" s="146"/>
      <c r="G119" s="129">
        <f>SUM(G86:G118)</f>
        <v>6058.8600000000006</v>
      </c>
      <c r="H119" s="274"/>
      <c r="I119" s="131"/>
      <c r="J119" s="257"/>
      <c r="K119" s="261"/>
      <c r="L119" s="132"/>
    </row>
    <row r="120" spans="1:12" x14ac:dyDescent="0.2">
      <c r="A120" s="121">
        <v>10</v>
      </c>
      <c r="B120" s="168" t="s">
        <v>34</v>
      </c>
      <c r="C120" s="113"/>
      <c r="D120" s="120"/>
      <c r="E120" s="145"/>
      <c r="F120" s="145"/>
      <c r="G120" s="115"/>
      <c r="H120" s="275"/>
      <c r="I120" s="127"/>
      <c r="J120" s="257"/>
      <c r="K120" s="255"/>
      <c r="L120" s="95"/>
    </row>
    <row r="121" spans="1:12" x14ac:dyDescent="0.2">
      <c r="A121" s="136" t="s">
        <v>66</v>
      </c>
      <c r="B121" s="248" t="s">
        <v>315</v>
      </c>
      <c r="C121" s="122" t="s">
        <v>43</v>
      </c>
      <c r="D121" s="120">
        <v>2</v>
      </c>
      <c r="E121" s="145">
        <v>352.29</v>
      </c>
      <c r="F121" s="147">
        <f t="shared" ref="F121:F123" si="28">ROUND(E121*$G$2,2)</f>
        <v>434.73</v>
      </c>
      <c r="G121" s="115">
        <f t="shared" ref="G121:G127" si="29">ROUND(F121*D121,2)</f>
        <v>869.46</v>
      </c>
      <c r="H121" s="278">
        <v>72554</v>
      </c>
      <c r="I121" s="127"/>
      <c r="J121" s="257"/>
      <c r="K121" s="255"/>
      <c r="L121" s="95"/>
    </row>
    <row r="122" spans="1:12" x14ac:dyDescent="0.2">
      <c r="A122" s="136" t="s">
        <v>316</v>
      </c>
      <c r="B122" s="248" t="s">
        <v>318</v>
      </c>
      <c r="C122" s="122" t="s">
        <v>43</v>
      </c>
      <c r="D122" s="120">
        <v>10</v>
      </c>
      <c r="E122" s="145">
        <v>67.849999999999994</v>
      </c>
      <c r="F122" s="147">
        <f t="shared" si="28"/>
        <v>83.73</v>
      </c>
      <c r="G122" s="115">
        <f t="shared" si="29"/>
        <v>837.3</v>
      </c>
      <c r="H122" s="282" t="s">
        <v>379</v>
      </c>
      <c r="I122" s="127"/>
      <c r="J122" s="257"/>
      <c r="K122" s="255"/>
      <c r="L122" s="95"/>
    </row>
    <row r="123" spans="1:12" x14ac:dyDescent="0.2">
      <c r="A123" s="136" t="s">
        <v>317</v>
      </c>
      <c r="B123" s="248" t="s">
        <v>314</v>
      </c>
      <c r="C123" s="122" t="s">
        <v>43</v>
      </c>
      <c r="D123" s="120">
        <v>11</v>
      </c>
      <c r="E123" s="145">
        <v>30.22</v>
      </c>
      <c r="F123" s="147">
        <f t="shared" si="28"/>
        <v>37.29</v>
      </c>
      <c r="G123" s="115">
        <f t="shared" si="29"/>
        <v>410.19</v>
      </c>
      <c r="H123" s="282">
        <v>38774</v>
      </c>
      <c r="I123" s="127"/>
      <c r="J123" s="257"/>
      <c r="K123" s="255"/>
      <c r="L123" s="95"/>
    </row>
    <row r="124" spans="1:12" hidden="1" x14ac:dyDescent="0.2">
      <c r="A124" s="121"/>
      <c r="B124" s="112"/>
      <c r="C124" s="113"/>
      <c r="D124" s="120"/>
      <c r="E124" s="145"/>
      <c r="F124" s="145"/>
      <c r="G124" s="115">
        <f t="shared" si="29"/>
        <v>0</v>
      </c>
      <c r="H124" s="265"/>
      <c r="I124" s="127"/>
      <c r="J124" s="257"/>
      <c r="K124" s="255"/>
      <c r="L124" s="95"/>
    </row>
    <row r="125" spans="1:12" hidden="1" x14ac:dyDescent="0.2">
      <c r="A125" s="116" t="s">
        <v>66</v>
      </c>
      <c r="B125" s="117" t="s">
        <v>294</v>
      </c>
      <c r="C125" s="116" t="s">
        <v>43</v>
      </c>
      <c r="D125" s="120"/>
      <c r="E125" s="145">
        <v>500</v>
      </c>
      <c r="F125" s="147">
        <f t="shared" ref="F125:F127" si="30">ROUND(E125*$G$2,2)</f>
        <v>617</v>
      </c>
      <c r="G125" s="115">
        <f t="shared" si="29"/>
        <v>0</v>
      </c>
      <c r="H125" s="275"/>
      <c r="I125" s="127"/>
      <c r="J125" s="257"/>
      <c r="K125" s="255"/>
      <c r="L125" s="95"/>
    </row>
    <row r="126" spans="1:12" hidden="1" x14ac:dyDescent="0.2">
      <c r="A126" s="116" t="s">
        <v>66</v>
      </c>
      <c r="B126" s="118" t="s">
        <v>164</v>
      </c>
      <c r="C126" s="116" t="s">
        <v>7</v>
      </c>
      <c r="D126" s="120"/>
      <c r="E126" s="145">
        <v>21.63</v>
      </c>
      <c r="F126" s="147">
        <f t="shared" si="30"/>
        <v>26.69</v>
      </c>
      <c r="G126" s="115">
        <f t="shared" si="29"/>
        <v>0</v>
      </c>
      <c r="H126" s="273" t="s">
        <v>163</v>
      </c>
      <c r="I126" s="187"/>
      <c r="J126" s="257"/>
      <c r="K126" s="255"/>
      <c r="L126" s="95"/>
    </row>
    <row r="127" spans="1:12" x14ac:dyDescent="0.2">
      <c r="A127" s="116" t="s">
        <v>368</v>
      </c>
      <c r="B127" s="248" t="s">
        <v>373</v>
      </c>
      <c r="C127" s="122" t="s">
        <v>43</v>
      </c>
      <c r="D127" s="120">
        <v>2</v>
      </c>
      <c r="E127" s="145">
        <v>18</v>
      </c>
      <c r="F127" s="147">
        <f t="shared" si="30"/>
        <v>22.21</v>
      </c>
      <c r="G127" s="115">
        <f t="shared" si="29"/>
        <v>44.42</v>
      </c>
      <c r="H127" s="282" t="s">
        <v>379</v>
      </c>
      <c r="I127" s="187"/>
      <c r="J127" s="257"/>
      <c r="K127" s="255"/>
      <c r="L127" s="95"/>
    </row>
    <row r="128" spans="1:12" s="130" customFormat="1" x14ac:dyDescent="0.2">
      <c r="A128" s="128"/>
      <c r="B128" s="119" t="s">
        <v>37</v>
      </c>
      <c r="C128" s="128"/>
      <c r="D128" s="135"/>
      <c r="E128" s="146"/>
      <c r="F128" s="146"/>
      <c r="G128" s="129">
        <f>SUM(G121:G127)</f>
        <v>2161.37</v>
      </c>
      <c r="H128" s="274"/>
      <c r="I128" s="131"/>
      <c r="J128" s="257"/>
      <c r="K128" s="260"/>
      <c r="L128" s="132"/>
    </row>
    <row r="129" spans="1:12" s="93" customFormat="1" x14ac:dyDescent="0.2">
      <c r="A129" s="111">
        <v>11</v>
      </c>
      <c r="B129" s="165" t="s">
        <v>9</v>
      </c>
      <c r="C129" s="113"/>
      <c r="D129" s="120"/>
      <c r="E129" s="145"/>
      <c r="F129" s="145"/>
      <c r="G129" s="115"/>
      <c r="H129" s="275"/>
      <c r="I129" s="127"/>
      <c r="J129" s="257"/>
      <c r="K129" s="258"/>
      <c r="L129" s="92"/>
    </row>
    <row r="130" spans="1:12" s="93" customFormat="1" x14ac:dyDescent="0.2">
      <c r="A130" s="136" t="s">
        <v>51</v>
      </c>
      <c r="B130" s="117" t="s">
        <v>291</v>
      </c>
      <c r="C130" s="116" t="s">
        <v>3</v>
      </c>
      <c r="D130" s="120">
        <f>19.4+6</f>
        <v>25.4</v>
      </c>
      <c r="E130" s="145">
        <v>2.58</v>
      </c>
      <c r="F130" s="147">
        <f t="shared" ref="F130:F133" si="31">ROUND(E130*$G$2,2)</f>
        <v>3.18</v>
      </c>
      <c r="G130" s="115">
        <f t="shared" ref="G130:G133" si="32">ROUND(F130*D130,2)</f>
        <v>80.77</v>
      </c>
      <c r="H130" s="273">
        <v>88482</v>
      </c>
      <c r="I130" s="127"/>
      <c r="J130" s="257"/>
      <c r="K130" s="258"/>
      <c r="L130" s="92"/>
    </row>
    <row r="131" spans="1:12" s="93" customFormat="1" ht="15" customHeight="1" x14ac:dyDescent="0.2">
      <c r="A131" s="136" t="s">
        <v>207</v>
      </c>
      <c r="B131" s="117" t="s">
        <v>290</v>
      </c>
      <c r="C131" s="116" t="s">
        <v>3</v>
      </c>
      <c r="D131" s="147">
        <f>(16.3*5.75*2)+(16.5*3*2)+(10*3)+(4*3*2)</f>
        <v>340.45000000000005</v>
      </c>
      <c r="E131" s="145">
        <v>2.34</v>
      </c>
      <c r="F131" s="147">
        <f t="shared" si="31"/>
        <v>2.89</v>
      </c>
      <c r="G131" s="115">
        <f t="shared" si="32"/>
        <v>983.9</v>
      </c>
      <c r="H131" s="273">
        <v>88483</v>
      </c>
      <c r="I131" s="127"/>
      <c r="J131" s="257"/>
      <c r="K131" s="258"/>
      <c r="L131" s="92"/>
    </row>
    <row r="132" spans="1:12" s="93" customFormat="1" x14ac:dyDescent="0.2">
      <c r="A132" s="136" t="s">
        <v>208</v>
      </c>
      <c r="B132" s="117" t="s">
        <v>288</v>
      </c>
      <c r="C132" s="116" t="s">
        <v>3</v>
      </c>
      <c r="D132" s="147">
        <f>(16.3*5.75*2)+(16.5*3*2)+(10*3)+(4*3*2)</f>
        <v>340.45000000000005</v>
      </c>
      <c r="E132" s="145">
        <v>11.07</v>
      </c>
      <c r="F132" s="147">
        <f t="shared" si="31"/>
        <v>13.66</v>
      </c>
      <c r="G132" s="115">
        <f t="shared" si="32"/>
        <v>4650.55</v>
      </c>
      <c r="H132" s="273">
        <v>88489</v>
      </c>
      <c r="I132" s="127"/>
      <c r="J132" s="257"/>
      <c r="K132" s="258"/>
      <c r="L132" s="92"/>
    </row>
    <row r="133" spans="1:12" s="93" customFormat="1" x14ac:dyDescent="0.2">
      <c r="A133" s="136" t="s">
        <v>292</v>
      </c>
      <c r="B133" s="117" t="s">
        <v>289</v>
      </c>
      <c r="C133" s="116" t="s">
        <v>3</v>
      </c>
      <c r="D133" s="147">
        <f>19.4+6</f>
        <v>25.4</v>
      </c>
      <c r="E133" s="145">
        <v>12.62</v>
      </c>
      <c r="F133" s="147">
        <f t="shared" si="31"/>
        <v>15.57</v>
      </c>
      <c r="G133" s="115">
        <f t="shared" si="32"/>
        <v>395.48</v>
      </c>
      <c r="H133" s="273">
        <v>88488</v>
      </c>
      <c r="I133" s="127"/>
      <c r="J133" s="257"/>
      <c r="K133" s="258"/>
      <c r="L133" s="92"/>
    </row>
    <row r="134" spans="1:12" s="133" customFormat="1" x14ac:dyDescent="0.2">
      <c r="A134" s="128"/>
      <c r="B134" s="119" t="s">
        <v>37</v>
      </c>
      <c r="C134" s="128"/>
      <c r="D134" s="135"/>
      <c r="E134" s="146"/>
      <c r="F134" s="146"/>
      <c r="G134" s="129">
        <f>SUM(G130:G133)</f>
        <v>6110.7000000000007</v>
      </c>
      <c r="H134" s="274"/>
      <c r="I134" s="131"/>
      <c r="J134" s="257"/>
      <c r="K134" s="261"/>
      <c r="L134" s="134"/>
    </row>
    <row r="135" spans="1:12" s="93" customFormat="1" x14ac:dyDescent="0.2">
      <c r="A135" s="111">
        <v>12</v>
      </c>
      <c r="B135" s="165" t="s">
        <v>75</v>
      </c>
      <c r="C135" s="113"/>
      <c r="D135" s="120"/>
      <c r="E135" s="145"/>
      <c r="F135" s="145"/>
      <c r="G135" s="115"/>
      <c r="H135" s="275"/>
      <c r="I135" s="127"/>
      <c r="J135" s="257"/>
      <c r="K135" s="258"/>
      <c r="L135" s="92"/>
    </row>
    <row r="136" spans="1:12" s="93" customFormat="1" ht="22.5" x14ac:dyDescent="0.2">
      <c r="A136" s="136" t="s">
        <v>52</v>
      </c>
      <c r="B136" s="117" t="s">
        <v>319</v>
      </c>
      <c r="C136" s="122" t="s">
        <v>43</v>
      </c>
      <c r="D136" s="120">
        <v>4</v>
      </c>
      <c r="E136" s="145">
        <v>112.56</v>
      </c>
      <c r="F136" s="147">
        <f t="shared" ref="F136:F139" si="33">ROUND(E136*$G$2,2)</f>
        <v>138.9</v>
      </c>
      <c r="G136" s="115">
        <f t="shared" ref="G136:G139" si="34">ROUND(F136*D136,2)</f>
        <v>555.6</v>
      </c>
      <c r="H136" s="282">
        <v>89957</v>
      </c>
      <c r="I136" s="127"/>
      <c r="J136" s="257"/>
      <c r="K136" s="258"/>
      <c r="L136" s="92"/>
    </row>
    <row r="137" spans="1:12" s="93" customFormat="1" x14ac:dyDescent="0.2">
      <c r="A137" s="136" t="s">
        <v>67</v>
      </c>
      <c r="B137" s="117" t="s">
        <v>320</v>
      </c>
      <c r="C137" s="122" t="s">
        <v>43</v>
      </c>
      <c r="D137" s="120">
        <v>4</v>
      </c>
      <c r="E137" s="145">
        <v>57.64</v>
      </c>
      <c r="F137" s="147">
        <f t="shared" si="33"/>
        <v>71.13</v>
      </c>
      <c r="G137" s="115">
        <f t="shared" si="34"/>
        <v>284.52</v>
      </c>
      <c r="H137" s="282">
        <v>89986</v>
      </c>
      <c r="I137" s="127"/>
      <c r="J137" s="257"/>
      <c r="K137" s="258"/>
      <c r="L137" s="92"/>
    </row>
    <row r="138" spans="1:12" s="93" customFormat="1" x14ac:dyDescent="0.2">
      <c r="A138" s="136" t="s">
        <v>68</v>
      </c>
      <c r="B138" s="117" t="s">
        <v>321</v>
      </c>
      <c r="C138" s="122" t="s">
        <v>43</v>
      </c>
      <c r="D138" s="120">
        <v>1</v>
      </c>
      <c r="E138" s="145">
        <v>59.01</v>
      </c>
      <c r="F138" s="147">
        <f t="shared" si="33"/>
        <v>72.819999999999993</v>
      </c>
      <c r="G138" s="115">
        <f t="shared" si="34"/>
        <v>72.819999999999993</v>
      </c>
      <c r="H138" s="282">
        <v>89984</v>
      </c>
      <c r="I138" s="127"/>
      <c r="J138" s="257"/>
      <c r="K138" s="258"/>
      <c r="L138" s="92"/>
    </row>
    <row r="139" spans="1:12" s="93" customFormat="1" x14ac:dyDescent="0.2">
      <c r="A139" s="136" t="s">
        <v>209</v>
      </c>
      <c r="B139" s="117" t="s">
        <v>322</v>
      </c>
      <c r="C139" s="122" t="s">
        <v>10</v>
      </c>
      <c r="D139" s="120">
        <v>15</v>
      </c>
      <c r="E139" s="145">
        <v>34.130000000000003</v>
      </c>
      <c r="F139" s="147">
        <f t="shared" si="33"/>
        <v>42.12</v>
      </c>
      <c r="G139" s="115">
        <f t="shared" si="34"/>
        <v>631.79999999999995</v>
      </c>
      <c r="H139" s="282">
        <v>91785</v>
      </c>
      <c r="I139" s="127"/>
      <c r="J139" s="257"/>
      <c r="K139" s="258"/>
      <c r="L139" s="92"/>
    </row>
    <row r="140" spans="1:12" s="93" customFormat="1" hidden="1" x14ac:dyDescent="0.2">
      <c r="A140" s="111"/>
      <c r="B140" s="165"/>
      <c r="C140" s="113"/>
      <c r="D140" s="120"/>
      <c r="E140" s="145"/>
      <c r="F140" s="145"/>
      <c r="G140" s="115"/>
      <c r="H140" s="275"/>
      <c r="I140" s="127"/>
      <c r="J140" s="257"/>
      <c r="K140" s="258"/>
      <c r="L140" s="92"/>
    </row>
    <row r="141" spans="1:12" s="93" customFormat="1" hidden="1" x14ac:dyDescent="0.2">
      <c r="A141" s="136" t="s">
        <v>52</v>
      </c>
      <c r="B141" s="117" t="s">
        <v>294</v>
      </c>
      <c r="C141" s="116" t="s">
        <v>43</v>
      </c>
      <c r="D141" s="120"/>
      <c r="E141" s="145">
        <v>500</v>
      </c>
      <c r="F141" s="147">
        <f t="shared" ref="F141:F142" si="35">ROUND(E141*$G$2,2)</f>
        <v>617</v>
      </c>
      <c r="G141" s="115">
        <f t="shared" ref="G141:G142" si="36">ROUND(F141*D141,2)</f>
        <v>0</v>
      </c>
      <c r="H141" s="275"/>
      <c r="I141" s="127"/>
      <c r="J141" s="257"/>
      <c r="K141" s="258"/>
      <c r="L141" s="92"/>
    </row>
    <row r="142" spans="1:12" s="93" customFormat="1" hidden="1" x14ac:dyDescent="0.2">
      <c r="A142" s="136" t="s">
        <v>52</v>
      </c>
      <c r="B142" s="204" t="s">
        <v>178</v>
      </c>
      <c r="C142" s="116" t="s">
        <v>7</v>
      </c>
      <c r="D142" s="120"/>
      <c r="E142" s="145">
        <v>62.95</v>
      </c>
      <c r="F142" s="147">
        <f t="shared" si="35"/>
        <v>77.680000000000007</v>
      </c>
      <c r="G142" s="115">
        <f t="shared" si="36"/>
        <v>0</v>
      </c>
      <c r="H142" s="273" t="s">
        <v>177</v>
      </c>
      <c r="I142" s="127"/>
      <c r="J142" s="257"/>
      <c r="K142" s="258"/>
      <c r="L142" s="92"/>
    </row>
    <row r="143" spans="1:12" hidden="1" x14ac:dyDescent="0.2">
      <c r="A143" s="136" t="s">
        <v>67</v>
      </c>
      <c r="B143" s="117" t="s">
        <v>137</v>
      </c>
      <c r="C143" s="116" t="s">
        <v>10</v>
      </c>
      <c r="D143" s="147"/>
      <c r="E143" s="145">
        <v>4.51</v>
      </c>
      <c r="F143" s="147">
        <f t="shared" ref="F143:F146" si="37">ROUND(E143*$G$2,2)</f>
        <v>5.57</v>
      </c>
      <c r="G143" s="115">
        <f t="shared" ref="G143:G146" si="38">ROUND(F143*D143,2)</f>
        <v>0</v>
      </c>
      <c r="H143" s="273" t="s">
        <v>136</v>
      </c>
      <c r="I143" s="127"/>
      <c r="J143" s="257"/>
      <c r="K143" s="255"/>
      <c r="L143" s="95"/>
    </row>
    <row r="144" spans="1:12" s="93" customFormat="1" ht="15" hidden="1" customHeight="1" x14ac:dyDescent="0.2">
      <c r="A144" s="136" t="s">
        <v>68</v>
      </c>
      <c r="B144" s="117" t="s">
        <v>78</v>
      </c>
      <c r="C144" s="116" t="s">
        <v>7</v>
      </c>
      <c r="D144" s="147"/>
      <c r="E144" s="145">
        <v>4.32</v>
      </c>
      <c r="F144" s="147">
        <f t="shared" si="37"/>
        <v>5.33</v>
      </c>
      <c r="G144" s="115">
        <f t="shared" si="38"/>
        <v>0</v>
      </c>
      <c r="H144" s="273" t="s">
        <v>138</v>
      </c>
      <c r="I144" s="127"/>
      <c r="J144" s="257"/>
      <c r="K144" s="258"/>
      <c r="L144" s="92"/>
    </row>
    <row r="145" spans="1:12" s="93" customFormat="1" ht="15" hidden="1" customHeight="1" x14ac:dyDescent="0.2">
      <c r="A145" s="136" t="s">
        <v>209</v>
      </c>
      <c r="B145" s="117" t="s">
        <v>77</v>
      </c>
      <c r="C145" s="116" t="s">
        <v>7</v>
      </c>
      <c r="D145" s="147"/>
      <c r="E145" s="145">
        <v>4.9000000000000004</v>
      </c>
      <c r="F145" s="147">
        <f t="shared" si="37"/>
        <v>6.05</v>
      </c>
      <c r="G145" s="115">
        <f t="shared" si="38"/>
        <v>0</v>
      </c>
      <c r="H145" s="273" t="s">
        <v>139</v>
      </c>
      <c r="I145" s="127"/>
      <c r="J145" s="257"/>
      <c r="K145" s="258"/>
      <c r="L145" s="92"/>
    </row>
    <row r="146" spans="1:12" s="93" customFormat="1" ht="15" hidden="1" customHeight="1" x14ac:dyDescent="0.2">
      <c r="A146" s="136" t="s">
        <v>210</v>
      </c>
      <c r="B146" s="117" t="s">
        <v>86</v>
      </c>
      <c r="C146" s="116" t="s">
        <v>7</v>
      </c>
      <c r="D146" s="147"/>
      <c r="E146" s="145">
        <v>1834.13</v>
      </c>
      <c r="F146" s="147">
        <f t="shared" si="37"/>
        <v>2263.3200000000002</v>
      </c>
      <c r="G146" s="115">
        <f t="shared" si="38"/>
        <v>0</v>
      </c>
      <c r="H146" s="273" t="s">
        <v>87</v>
      </c>
      <c r="I146" s="127"/>
      <c r="J146" s="257"/>
      <c r="K146" s="258"/>
      <c r="L146" s="92"/>
    </row>
    <row r="147" spans="1:12" s="133" customFormat="1" x14ac:dyDescent="0.2">
      <c r="A147" s="128"/>
      <c r="B147" s="119" t="s">
        <v>37</v>
      </c>
      <c r="C147" s="128"/>
      <c r="D147" s="135"/>
      <c r="E147" s="146"/>
      <c r="F147" s="146"/>
      <c r="G147" s="129">
        <f>SUM(G136:G139)</f>
        <v>1544.74</v>
      </c>
      <c r="H147" s="274"/>
      <c r="I147" s="131"/>
      <c r="J147" s="257"/>
      <c r="K147" s="261"/>
      <c r="L147" s="134"/>
    </row>
    <row r="148" spans="1:12" s="93" customFormat="1" x14ac:dyDescent="0.2">
      <c r="A148" s="111">
        <v>13</v>
      </c>
      <c r="B148" s="165" t="s">
        <v>76</v>
      </c>
      <c r="C148" s="113"/>
      <c r="D148" s="120"/>
      <c r="E148" s="145"/>
      <c r="F148" s="145"/>
      <c r="G148" s="129"/>
      <c r="H148" s="275"/>
      <c r="I148" s="127"/>
      <c r="J148" s="257"/>
      <c r="K148" s="258"/>
      <c r="L148" s="92"/>
    </row>
    <row r="149" spans="1:12" hidden="1" x14ac:dyDescent="0.2">
      <c r="A149" s="136" t="s">
        <v>32</v>
      </c>
      <c r="B149" s="117" t="s">
        <v>145</v>
      </c>
      <c r="C149" s="116" t="s">
        <v>7</v>
      </c>
      <c r="D149" s="147"/>
      <c r="E149" s="145">
        <v>22.89</v>
      </c>
      <c r="F149" s="147">
        <f t="shared" ref="F149:F160" si="39">ROUND(E149*$G$2,2)</f>
        <v>28.25</v>
      </c>
      <c r="G149" s="129">
        <f t="shared" ref="G149:G154" si="40">SUM(G144:G148)</f>
        <v>1544.74</v>
      </c>
      <c r="H149" s="273" t="s">
        <v>119</v>
      </c>
      <c r="I149" s="127"/>
      <c r="J149" s="257"/>
      <c r="K149" s="255"/>
      <c r="L149" s="95"/>
    </row>
    <row r="150" spans="1:12" s="93" customFormat="1" ht="15" hidden="1" customHeight="1" x14ac:dyDescent="0.2">
      <c r="A150" s="136" t="s">
        <v>46</v>
      </c>
      <c r="B150" s="117" t="s">
        <v>140</v>
      </c>
      <c r="C150" s="116" t="s">
        <v>7</v>
      </c>
      <c r="D150" s="147"/>
      <c r="E150" s="145">
        <v>253.65</v>
      </c>
      <c r="F150" s="147">
        <f t="shared" si="39"/>
        <v>313</v>
      </c>
      <c r="G150" s="129">
        <f t="shared" si="40"/>
        <v>3089.48</v>
      </c>
      <c r="H150" s="273" t="s">
        <v>141</v>
      </c>
      <c r="I150" s="127"/>
      <c r="J150" s="257"/>
      <c r="K150" s="258"/>
      <c r="L150" s="92"/>
    </row>
    <row r="151" spans="1:12" s="93" customFormat="1" ht="15" hidden="1" customHeight="1" x14ac:dyDescent="0.2">
      <c r="A151" s="136" t="s">
        <v>53</v>
      </c>
      <c r="B151" s="117" t="s">
        <v>88</v>
      </c>
      <c r="C151" s="116" t="s">
        <v>7</v>
      </c>
      <c r="D151" s="147"/>
      <c r="E151" s="182">
        <v>502.19</v>
      </c>
      <c r="F151" s="147">
        <f t="shared" si="39"/>
        <v>619.70000000000005</v>
      </c>
      <c r="G151" s="129">
        <f t="shared" si="40"/>
        <v>6178.96</v>
      </c>
      <c r="H151" s="273" t="s">
        <v>157</v>
      </c>
      <c r="I151" s="127"/>
      <c r="J151" s="257"/>
      <c r="K151" s="258"/>
      <c r="L151" s="92"/>
    </row>
    <row r="152" spans="1:12" hidden="1" x14ac:dyDescent="0.2">
      <c r="A152" s="136" t="s">
        <v>79</v>
      </c>
      <c r="B152" s="117" t="s">
        <v>154</v>
      </c>
      <c r="C152" s="116" t="s">
        <v>7</v>
      </c>
      <c r="D152" s="147"/>
      <c r="E152" s="182">
        <v>44.75</v>
      </c>
      <c r="F152" s="147">
        <f t="shared" si="39"/>
        <v>55.22</v>
      </c>
      <c r="G152" s="129">
        <f t="shared" si="40"/>
        <v>12357.92</v>
      </c>
      <c r="H152" s="273" t="s">
        <v>153</v>
      </c>
      <c r="I152" s="92"/>
      <c r="J152" s="257"/>
      <c r="K152" s="255"/>
      <c r="L152" s="95"/>
    </row>
    <row r="153" spans="1:12" s="93" customFormat="1" ht="15" hidden="1" customHeight="1" x14ac:dyDescent="0.2">
      <c r="A153" s="136" t="s">
        <v>190</v>
      </c>
      <c r="B153" s="117" t="s">
        <v>146</v>
      </c>
      <c r="C153" s="116" t="s">
        <v>7</v>
      </c>
      <c r="D153" s="147"/>
      <c r="E153" s="145">
        <v>14.1</v>
      </c>
      <c r="F153" s="147">
        <f t="shared" si="39"/>
        <v>17.399999999999999</v>
      </c>
      <c r="G153" s="129">
        <f t="shared" si="40"/>
        <v>23171.1</v>
      </c>
      <c r="H153" s="273" t="s">
        <v>160</v>
      </c>
      <c r="I153" s="127"/>
      <c r="J153" s="257"/>
      <c r="K153" s="258"/>
      <c r="L153" s="92"/>
    </row>
    <row r="154" spans="1:12" s="93" customFormat="1" ht="15" hidden="1" customHeight="1" x14ac:dyDescent="0.2">
      <c r="A154" s="136" t="s">
        <v>211</v>
      </c>
      <c r="B154" s="117" t="s">
        <v>147</v>
      </c>
      <c r="C154" s="116" t="s">
        <v>7</v>
      </c>
      <c r="D154" s="147"/>
      <c r="E154" s="145">
        <v>42.38</v>
      </c>
      <c r="F154" s="147">
        <f t="shared" si="39"/>
        <v>52.3</v>
      </c>
      <c r="G154" s="129">
        <f t="shared" si="40"/>
        <v>46342.2</v>
      </c>
      <c r="H154" s="273" t="s">
        <v>161</v>
      </c>
      <c r="I154" s="127"/>
      <c r="J154" s="257"/>
      <c r="K154" s="258"/>
      <c r="L154" s="92"/>
    </row>
    <row r="155" spans="1:12" s="93" customFormat="1" x14ac:dyDescent="0.2">
      <c r="A155" s="136" t="s">
        <v>32</v>
      </c>
      <c r="B155" s="117" t="s">
        <v>323</v>
      </c>
      <c r="C155" s="122" t="s">
        <v>43</v>
      </c>
      <c r="D155" s="147">
        <v>1</v>
      </c>
      <c r="E155" s="145">
        <v>183.96</v>
      </c>
      <c r="F155" s="147">
        <f t="shared" si="39"/>
        <v>227.01</v>
      </c>
      <c r="G155" s="115">
        <f t="shared" ref="G155:G157" si="41">ROUND(F155*D155,2)</f>
        <v>227.01</v>
      </c>
      <c r="H155" s="282" t="s">
        <v>326</v>
      </c>
      <c r="I155" s="127"/>
      <c r="J155" s="257"/>
      <c r="K155" s="258"/>
      <c r="L155" s="92"/>
    </row>
    <row r="156" spans="1:12" s="93" customFormat="1" x14ac:dyDescent="0.2">
      <c r="A156" s="136" t="s">
        <v>46</v>
      </c>
      <c r="B156" s="117" t="s">
        <v>324</v>
      </c>
      <c r="C156" s="122" t="s">
        <v>43</v>
      </c>
      <c r="D156" s="147">
        <v>1</v>
      </c>
      <c r="E156" s="145">
        <v>123.45</v>
      </c>
      <c r="F156" s="147">
        <f t="shared" si="39"/>
        <v>152.34</v>
      </c>
      <c r="G156" s="115">
        <f t="shared" si="41"/>
        <v>152.34</v>
      </c>
      <c r="H156" s="282" t="s">
        <v>327</v>
      </c>
      <c r="I156" s="127"/>
      <c r="J156" s="257"/>
      <c r="K156" s="258"/>
      <c r="L156" s="92"/>
    </row>
    <row r="157" spans="1:12" s="93" customFormat="1" x14ac:dyDescent="0.2">
      <c r="A157" s="136" t="s">
        <v>53</v>
      </c>
      <c r="B157" s="117" t="s">
        <v>325</v>
      </c>
      <c r="C157" s="116" t="s">
        <v>10</v>
      </c>
      <c r="D157" s="147">
        <v>35</v>
      </c>
      <c r="E157" s="145">
        <v>12.14</v>
      </c>
      <c r="F157" s="147">
        <f t="shared" si="39"/>
        <v>14.98</v>
      </c>
      <c r="G157" s="115">
        <f t="shared" si="41"/>
        <v>524.29999999999995</v>
      </c>
      <c r="H157" s="282">
        <v>89799</v>
      </c>
      <c r="I157" s="127"/>
      <c r="J157" s="257"/>
      <c r="K157" s="258"/>
      <c r="L157" s="92"/>
    </row>
    <row r="158" spans="1:12" s="93" customFormat="1" ht="15" hidden="1" customHeight="1" x14ac:dyDescent="0.2">
      <c r="A158" s="136"/>
      <c r="B158" s="117"/>
      <c r="C158" s="116"/>
      <c r="D158" s="147"/>
      <c r="E158" s="145"/>
      <c r="F158" s="147"/>
      <c r="G158" s="129"/>
      <c r="H158" s="273"/>
      <c r="I158" s="127"/>
      <c r="J158" s="257"/>
      <c r="K158" s="258"/>
      <c r="L158" s="92"/>
    </row>
    <row r="159" spans="1:12" s="93" customFormat="1" ht="15" hidden="1" customHeight="1" x14ac:dyDescent="0.2">
      <c r="A159" s="136" t="s">
        <v>32</v>
      </c>
      <c r="B159" s="117" t="s">
        <v>294</v>
      </c>
      <c r="C159" s="116" t="s">
        <v>43</v>
      </c>
      <c r="D159" s="147"/>
      <c r="E159" s="145">
        <v>1000</v>
      </c>
      <c r="F159" s="147">
        <f t="shared" si="39"/>
        <v>1234</v>
      </c>
      <c r="G159" s="115">
        <f t="shared" ref="G159:G160" si="42">ROUND(F159*D159,2)</f>
        <v>0</v>
      </c>
      <c r="H159" s="273"/>
      <c r="I159" s="127"/>
      <c r="J159" s="257"/>
      <c r="K159" s="258"/>
      <c r="L159" s="92"/>
    </row>
    <row r="160" spans="1:12" s="93" customFormat="1" ht="15" customHeight="1" x14ac:dyDescent="0.2">
      <c r="A160" s="136" t="s">
        <v>79</v>
      </c>
      <c r="B160" s="117" t="s">
        <v>328</v>
      </c>
      <c r="C160" s="122" t="s">
        <v>43</v>
      </c>
      <c r="D160" s="147">
        <v>4</v>
      </c>
      <c r="E160" s="145">
        <v>13.67</v>
      </c>
      <c r="F160" s="147">
        <f t="shared" si="39"/>
        <v>16.87</v>
      </c>
      <c r="G160" s="115">
        <f t="shared" si="42"/>
        <v>67.48</v>
      </c>
      <c r="H160" s="282">
        <v>89739</v>
      </c>
      <c r="I160" s="127"/>
      <c r="J160" s="257"/>
      <c r="K160" s="258"/>
      <c r="L160" s="92"/>
    </row>
    <row r="161" spans="1:12" s="133" customFormat="1" x14ac:dyDescent="0.2">
      <c r="A161" s="128"/>
      <c r="B161" s="119" t="s">
        <v>37</v>
      </c>
      <c r="C161" s="128"/>
      <c r="D161" s="135"/>
      <c r="E161" s="146"/>
      <c r="F161" s="146"/>
      <c r="G161" s="129">
        <f>SUM(G155:G160)</f>
        <v>971.13</v>
      </c>
      <c r="H161" s="274"/>
      <c r="I161" s="131"/>
      <c r="J161" s="257"/>
      <c r="K161" s="261"/>
      <c r="L161" s="134"/>
    </row>
    <row r="162" spans="1:12" s="133" customFormat="1" x14ac:dyDescent="0.2">
      <c r="A162" s="205">
        <v>14</v>
      </c>
      <c r="B162" s="168" t="s">
        <v>179</v>
      </c>
      <c r="C162" s="206"/>
      <c r="D162" s="120"/>
      <c r="E162" s="182"/>
      <c r="F162" s="146"/>
      <c r="G162" s="129"/>
      <c r="H162" s="274"/>
      <c r="I162" s="131"/>
      <c r="J162" s="257"/>
      <c r="K162" s="261"/>
      <c r="L162" s="134"/>
    </row>
    <row r="163" spans="1:12" s="133" customFormat="1" x14ac:dyDescent="0.2">
      <c r="A163" s="136" t="s">
        <v>54</v>
      </c>
      <c r="B163" s="117" t="s">
        <v>329</v>
      </c>
      <c r="C163" s="116" t="s">
        <v>43</v>
      </c>
      <c r="D163" s="120">
        <v>4</v>
      </c>
      <c r="E163" s="182">
        <v>4.75</v>
      </c>
      <c r="F163" s="147">
        <f t="shared" ref="F163" si="43">ROUND(E163*$G$2,2)</f>
        <v>5.86</v>
      </c>
      <c r="G163" s="115">
        <f t="shared" ref="G163" si="44">ROUND(F163*D163,2)</f>
        <v>23.44</v>
      </c>
      <c r="H163" s="282">
        <v>20260</v>
      </c>
      <c r="I163" s="131"/>
      <c r="J163" s="257"/>
      <c r="K163" s="261"/>
      <c r="L163" s="134"/>
    </row>
    <row r="164" spans="1:12" s="133" customFormat="1" x14ac:dyDescent="0.2">
      <c r="A164" s="136" t="s">
        <v>55</v>
      </c>
      <c r="B164" s="117" t="s">
        <v>330</v>
      </c>
      <c r="C164" s="116" t="s">
        <v>43</v>
      </c>
      <c r="D164" s="120">
        <v>4</v>
      </c>
      <c r="E164" s="182">
        <v>25.32</v>
      </c>
      <c r="F164" s="147">
        <f t="shared" ref="F164:F179" si="45">ROUND(E164*$G$2,2)</f>
        <v>31.24</v>
      </c>
      <c r="G164" s="115">
        <f t="shared" ref="G164:G179" si="46">ROUND(F164*D164,2)</f>
        <v>124.96</v>
      </c>
      <c r="H164" s="282">
        <v>11756</v>
      </c>
      <c r="I164" s="131"/>
      <c r="J164" s="257"/>
      <c r="K164" s="261"/>
      <c r="L164" s="134"/>
    </row>
    <row r="165" spans="1:12" s="133" customFormat="1" ht="22.5" x14ac:dyDescent="0.2">
      <c r="A165" s="136" t="s">
        <v>56</v>
      </c>
      <c r="B165" s="117" t="s">
        <v>409</v>
      </c>
      <c r="C165" s="116" t="s">
        <v>10</v>
      </c>
      <c r="D165" s="120">
        <v>5</v>
      </c>
      <c r="E165" s="182">
        <v>48.67</v>
      </c>
      <c r="F165" s="147">
        <f t="shared" si="45"/>
        <v>60.06</v>
      </c>
      <c r="G165" s="115">
        <f t="shared" si="46"/>
        <v>300.3</v>
      </c>
      <c r="H165" s="282">
        <v>98228</v>
      </c>
      <c r="I165" s="131"/>
      <c r="J165" s="257"/>
      <c r="K165" s="261"/>
      <c r="L165" s="134"/>
    </row>
    <row r="166" spans="1:12" s="133" customFormat="1" x14ac:dyDescent="0.2">
      <c r="A166" s="136" t="s">
        <v>191</v>
      </c>
      <c r="B166" s="117" t="s">
        <v>331</v>
      </c>
      <c r="C166" s="116" t="s">
        <v>4</v>
      </c>
      <c r="D166" s="120">
        <v>0.192</v>
      </c>
      <c r="E166" s="182">
        <v>417.63</v>
      </c>
      <c r="F166" s="147">
        <f t="shared" si="45"/>
        <v>515.36</v>
      </c>
      <c r="G166" s="115">
        <f t="shared" si="46"/>
        <v>98.95</v>
      </c>
      <c r="H166" s="282">
        <v>96620</v>
      </c>
      <c r="I166" s="131"/>
      <c r="J166" s="257"/>
      <c r="K166" s="261"/>
      <c r="L166" s="134"/>
    </row>
    <row r="167" spans="1:12" s="133" customFormat="1" x14ac:dyDescent="0.2">
      <c r="A167" s="136" t="s">
        <v>192</v>
      </c>
      <c r="B167" s="117" t="s">
        <v>348</v>
      </c>
      <c r="C167" s="116" t="s">
        <v>4</v>
      </c>
      <c r="D167" s="120">
        <v>0.192</v>
      </c>
      <c r="E167" s="182">
        <v>204.23</v>
      </c>
      <c r="F167" s="147">
        <f t="shared" si="45"/>
        <v>252.02</v>
      </c>
      <c r="G167" s="115">
        <f t="shared" si="46"/>
        <v>48.39</v>
      </c>
      <c r="H167" s="282">
        <v>94103</v>
      </c>
      <c r="I167" s="131"/>
      <c r="J167" s="257"/>
      <c r="K167" s="261"/>
      <c r="L167" s="134"/>
    </row>
    <row r="168" spans="1:12" s="133" customFormat="1" x14ac:dyDescent="0.2">
      <c r="A168" s="136" t="s">
        <v>193</v>
      </c>
      <c r="B168" s="117" t="s">
        <v>349</v>
      </c>
      <c r="C168" s="116" t="s">
        <v>3</v>
      </c>
      <c r="D168" s="120">
        <v>5.12</v>
      </c>
      <c r="E168" s="182">
        <v>24.03</v>
      </c>
      <c r="F168" s="147">
        <f t="shared" si="45"/>
        <v>29.65</v>
      </c>
      <c r="G168" s="115">
        <f t="shared" si="46"/>
        <v>151.81</v>
      </c>
      <c r="H168" s="282">
        <v>1355</v>
      </c>
      <c r="I168" s="131"/>
      <c r="J168" s="257"/>
      <c r="K168" s="261"/>
      <c r="L168" s="134"/>
    </row>
    <row r="169" spans="1:12" s="133" customFormat="1" x14ac:dyDescent="0.2">
      <c r="A169" s="136" t="s">
        <v>212</v>
      </c>
      <c r="B169" s="117" t="s">
        <v>345</v>
      </c>
      <c r="C169" s="116" t="s">
        <v>343</v>
      </c>
      <c r="D169" s="120">
        <f>48*0.39</f>
        <v>18.72</v>
      </c>
      <c r="E169" s="182">
        <v>9.7200000000000006</v>
      </c>
      <c r="F169" s="147">
        <f t="shared" si="45"/>
        <v>11.99</v>
      </c>
      <c r="G169" s="115">
        <f t="shared" si="46"/>
        <v>224.45</v>
      </c>
      <c r="H169" s="282">
        <v>92777</v>
      </c>
      <c r="I169" s="131"/>
      <c r="J169" s="257"/>
      <c r="K169" s="261"/>
      <c r="L169" s="134"/>
    </row>
    <row r="170" spans="1:12" s="133" customFormat="1" x14ac:dyDescent="0.2">
      <c r="A170" s="136" t="s">
        <v>213</v>
      </c>
      <c r="B170" s="117" t="s">
        <v>346</v>
      </c>
      <c r="C170" s="116" t="s">
        <v>4</v>
      </c>
      <c r="D170" s="120">
        <v>0.16</v>
      </c>
      <c r="E170" s="182">
        <v>274.8</v>
      </c>
      <c r="F170" s="147">
        <f t="shared" si="45"/>
        <v>339.1</v>
      </c>
      <c r="G170" s="115">
        <f t="shared" si="46"/>
        <v>54.26</v>
      </c>
      <c r="H170" s="282">
        <v>94963</v>
      </c>
      <c r="I170" s="131"/>
      <c r="J170" s="257"/>
      <c r="K170" s="261"/>
      <c r="L170" s="134"/>
    </row>
    <row r="171" spans="1:12" s="133" customFormat="1" ht="13.5" customHeight="1" x14ac:dyDescent="0.2">
      <c r="A171" s="136" t="s">
        <v>214</v>
      </c>
      <c r="B171" s="117" t="s">
        <v>336</v>
      </c>
      <c r="C171" s="116" t="s">
        <v>4</v>
      </c>
      <c r="D171" s="120">
        <v>0.16</v>
      </c>
      <c r="E171" s="182">
        <v>173.09</v>
      </c>
      <c r="F171" s="147">
        <f t="shared" si="45"/>
        <v>213.59</v>
      </c>
      <c r="G171" s="115">
        <f t="shared" si="46"/>
        <v>34.17</v>
      </c>
      <c r="H171" s="282">
        <v>92873</v>
      </c>
      <c r="I171" s="131"/>
      <c r="J171" s="257"/>
      <c r="K171" s="261"/>
      <c r="L171" s="134"/>
    </row>
    <row r="172" spans="1:12" s="133" customFormat="1" ht="22.5" x14ac:dyDescent="0.2">
      <c r="A172" s="136" t="s">
        <v>215</v>
      </c>
      <c r="B172" s="117" t="s">
        <v>351</v>
      </c>
      <c r="C172" s="116" t="s">
        <v>3</v>
      </c>
      <c r="D172" s="120">
        <f>5.2</f>
        <v>5.2</v>
      </c>
      <c r="E172" s="182">
        <v>124</v>
      </c>
      <c r="F172" s="147">
        <f t="shared" si="45"/>
        <v>153.02000000000001</v>
      </c>
      <c r="G172" s="115">
        <f t="shared" si="46"/>
        <v>795.7</v>
      </c>
      <c r="H172" s="282">
        <v>72131</v>
      </c>
      <c r="I172" s="131"/>
      <c r="J172" s="257"/>
      <c r="K172" s="261"/>
      <c r="L172" s="134"/>
    </row>
    <row r="173" spans="1:12" s="133" customFormat="1" x14ac:dyDescent="0.2">
      <c r="A173" s="136" t="s">
        <v>216</v>
      </c>
      <c r="B173" s="117" t="s">
        <v>352</v>
      </c>
      <c r="C173" s="116" t="s">
        <v>3</v>
      </c>
      <c r="D173" s="120">
        <v>7.2</v>
      </c>
      <c r="E173" s="145">
        <v>3.51</v>
      </c>
      <c r="F173" s="147">
        <f t="shared" si="45"/>
        <v>4.33</v>
      </c>
      <c r="G173" s="115">
        <f t="shared" si="46"/>
        <v>31.18</v>
      </c>
      <c r="H173" s="273">
        <v>87878</v>
      </c>
      <c r="I173" s="131"/>
      <c r="J173" s="257"/>
      <c r="K173" s="261"/>
      <c r="L173" s="134"/>
    </row>
    <row r="174" spans="1:12" s="133" customFormat="1" x14ac:dyDescent="0.2">
      <c r="A174" s="136" t="s">
        <v>340</v>
      </c>
      <c r="B174" s="117" t="s">
        <v>353</v>
      </c>
      <c r="C174" s="116" t="s">
        <v>3</v>
      </c>
      <c r="D174" s="120">
        <v>7.2</v>
      </c>
      <c r="E174" s="182">
        <v>44.27</v>
      </c>
      <c r="F174" s="147">
        <f t="shared" si="45"/>
        <v>54.63</v>
      </c>
      <c r="G174" s="115">
        <f t="shared" si="46"/>
        <v>393.34</v>
      </c>
      <c r="H174" s="273">
        <v>87777</v>
      </c>
      <c r="I174" s="131"/>
      <c r="J174" s="257"/>
      <c r="K174" s="261"/>
      <c r="L174" s="134"/>
    </row>
    <row r="175" spans="1:12" s="133" customFormat="1" ht="22.5" x14ac:dyDescent="0.2">
      <c r="A175" s="136" t="s">
        <v>341</v>
      </c>
      <c r="B175" s="117" t="s">
        <v>337</v>
      </c>
      <c r="C175" s="116" t="s">
        <v>3</v>
      </c>
      <c r="D175" s="120">
        <v>1.92</v>
      </c>
      <c r="E175" s="182">
        <v>76.02</v>
      </c>
      <c r="F175" s="147">
        <f t="shared" si="45"/>
        <v>93.81</v>
      </c>
      <c r="G175" s="115">
        <f t="shared" si="46"/>
        <v>180.12</v>
      </c>
      <c r="H175" s="282" t="s">
        <v>344</v>
      </c>
      <c r="I175" s="131"/>
      <c r="J175" s="257"/>
      <c r="K175" s="261"/>
      <c r="L175" s="134"/>
    </row>
    <row r="176" spans="1:12" s="133" customFormat="1" ht="22.5" x14ac:dyDescent="0.2">
      <c r="A176" s="136" t="s">
        <v>342</v>
      </c>
      <c r="B176" s="117" t="s">
        <v>338</v>
      </c>
      <c r="C176" s="116" t="s">
        <v>3</v>
      </c>
      <c r="D176" s="120">
        <v>2.5</v>
      </c>
      <c r="E176" s="182">
        <v>40.049999999999997</v>
      </c>
      <c r="F176" s="147">
        <f t="shared" si="45"/>
        <v>49.42</v>
      </c>
      <c r="G176" s="115">
        <f t="shared" si="46"/>
        <v>123.55</v>
      </c>
      <c r="H176" s="282">
        <v>6225</v>
      </c>
      <c r="I176" s="131"/>
      <c r="J176" s="257"/>
      <c r="K176" s="261"/>
      <c r="L176" s="134"/>
    </row>
    <row r="177" spans="1:12" s="133" customFormat="1" x14ac:dyDescent="0.2">
      <c r="A177" s="136" t="s">
        <v>350</v>
      </c>
      <c r="B177" s="117" t="s">
        <v>288</v>
      </c>
      <c r="C177" s="116" t="s">
        <v>3</v>
      </c>
      <c r="D177" s="120">
        <v>9.6999999999999993</v>
      </c>
      <c r="E177" s="182">
        <v>11.07</v>
      </c>
      <c r="F177" s="147">
        <f t="shared" si="45"/>
        <v>13.66</v>
      </c>
      <c r="G177" s="115">
        <f t="shared" si="46"/>
        <v>132.5</v>
      </c>
      <c r="H177" s="282">
        <v>88489</v>
      </c>
      <c r="I177" s="131"/>
      <c r="J177" s="257"/>
      <c r="K177" s="261"/>
      <c r="L177" s="134"/>
    </row>
    <row r="178" spans="1:12" s="133" customFormat="1" x14ac:dyDescent="0.2">
      <c r="A178" s="136" t="s">
        <v>354</v>
      </c>
      <c r="B178" s="117" t="s">
        <v>347</v>
      </c>
      <c r="C178" s="116" t="s">
        <v>3</v>
      </c>
      <c r="D178" s="120">
        <v>2.6</v>
      </c>
      <c r="E178" s="182">
        <v>754.27</v>
      </c>
      <c r="F178" s="147">
        <f t="shared" si="45"/>
        <v>930.77</v>
      </c>
      <c r="G178" s="115">
        <f t="shared" si="46"/>
        <v>2420</v>
      </c>
      <c r="H178" s="282">
        <v>91341</v>
      </c>
      <c r="I178" s="131"/>
      <c r="J178" s="257"/>
      <c r="K178" s="261"/>
      <c r="L178" s="134"/>
    </row>
    <row r="179" spans="1:12" s="133" customFormat="1" x14ac:dyDescent="0.2">
      <c r="A179" s="136" t="s">
        <v>355</v>
      </c>
      <c r="B179" s="117" t="s">
        <v>339</v>
      </c>
      <c r="C179" s="116" t="s">
        <v>343</v>
      </c>
      <c r="D179" s="120">
        <v>52</v>
      </c>
      <c r="E179" s="182">
        <v>5.31</v>
      </c>
      <c r="F179" s="147">
        <f t="shared" si="45"/>
        <v>6.55</v>
      </c>
      <c r="G179" s="115">
        <f t="shared" si="46"/>
        <v>340.6</v>
      </c>
      <c r="H179" s="282">
        <v>4226</v>
      </c>
      <c r="I179" s="131"/>
      <c r="J179" s="257"/>
      <c r="K179" s="261"/>
      <c r="L179" s="134"/>
    </row>
    <row r="180" spans="1:12" s="133" customFormat="1" hidden="1" x14ac:dyDescent="0.2">
      <c r="A180" s="205"/>
      <c r="B180" s="117"/>
      <c r="C180" s="206"/>
      <c r="D180" s="120"/>
      <c r="E180" s="182"/>
      <c r="F180" s="146"/>
      <c r="G180" s="129"/>
      <c r="H180" s="282"/>
      <c r="I180" s="131"/>
      <c r="J180" s="257"/>
      <c r="K180" s="261"/>
      <c r="L180" s="134"/>
    </row>
    <row r="181" spans="1:12" s="133" customFormat="1" hidden="1" x14ac:dyDescent="0.2">
      <c r="A181" s="205"/>
      <c r="B181" s="117"/>
      <c r="C181" s="206"/>
      <c r="D181" s="120"/>
      <c r="E181" s="182"/>
      <c r="F181" s="146"/>
      <c r="G181" s="129"/>
      <c r="H181" s="282"/>
      <c r="I181" s="131"/>
      <c r="J181" s="257"/>
      <c r="K181" s="261"/>
      <c r="L181" s="134"/>
    </row>
    <row r="182" spans="1:12" s="133" customFormat="1" hidden="1" x14ac:dyDescent="0.2">
      <c r="A182" s="136" t="s">
        <v>54</v>
      </c>
      <c r="B182" s="117" t="s">
        <v>331</v>
      </c>
      <c r="C182" s="116" t="s">
        <v>43</v>
      </c>
      <c r="D182" s="120"/>
      <c r="E182" s="182">
        <v>2000</v>
      </c>
      <c r="F182" s="147">
        <f t="shared" ref="F182:F193" si="47">ROUND(E182*$G$2,2)</f>
        <v>2468</v>
      </c>
      <c r="G182" s="115">
        <f t="shared" ref="G182:G193" si="48">ROUND(F182*D182,2)</f>
        <v>0</v>
      </c>
      <c r="H182" s="274"/>
      <c r="I182" s="131"/>
      <c r="J182" s="257"/>
      <c r="K182" s="261"/>
      <c r="L182" s="134"/>
    </row>
    <row r="183" spans="1:12" s="133" customFormat="1" ht="22.5" hidden="1" x14ac:dyDescent="0.2">
      <c r="A183" s="116" t="s">
        <v>54</v>
      </c>
      <c r="B183" s="117" t="s">
        <v>332</v>
      </c>
      <c r="C183" s="116" t="s">
        <v>10</v>
      </c>
      <c r="D183" s="120"/>
      <c r="E183" s="182">
        <v>21.54</v>
      </c>
      <c r="F183" s="147">
        <f t="shared" si="47"/>
        <v>26.58</v>
      </c>
      <c r="G183" s="115">
        <f t="shared" si="48"/>
        <v>0</v>
      </c>
      <c r="H183" s="283"/>
      <c r="I183" s="131"/>
      <c r="J183" s="257"/>
      <c r="K183" s="261"/>
      <c r="L183" s="134"/>
    </row>
    <row r="184" spans="1:12" s="133" customFormat="1" hidden="1" x14ac:dyDescent="0.2">
      <c r="A184" s="116" t="s">
        <v>55</v>
      </c>
      <c r="B184" s="117" t="s">
        <v>333</v>
      </c>
      <c r="C184" s="116" t="s">
        <v>10</v>
      </c>
      <c r="D184" s="120"/>
      <c r="E184" s="182">
        <v>21.24</v>
      </c>
      <c r="F184" s="147">
        <f t="shared" si="47"/>
        <v>26.21</v>
      </c>
      <c r="G184" s="115">
        <f t="shared" si="48"/>
        <v>0</v>
      </c>
      <c r="H184" s="273" t="s">
        <v>184</v>
      </c>
      <c r="I184" s="131"/>
      <c r="J184" s="257"/>
      <c r="K184" s="261"/>
      <c r="L184" s="134"/>
    </row>
    <row r="185" spans="1:12" s="133" customFormat="1" ht="22.5" hidden="1" x14ac:dyDescent="0.2">
      <c r="A185" s="116" t="s">
        <v>56</v>
      </c>
      <c r="B185" s="117" t="s">
        <v>334</v>
      </c>
      <c r="C185" s="116" t="s">
        <v>7</v>
      </c>
      <c r="D185" s="120"/>
      <c r="E185" s="182">
        <v>12.78</v>
      </c>
      <c r="F185" s="147">
        <f t="shared" si="47"/>
        <v>15.77</v>
      </c>
      <c r="G185" s="115">
        <f t="shared" si="48"/>
        <v>0</v>
      </c>
      <c r="H185" s="284"/>
      <c r="I185" s="131"/>
      <c r="J185" s="257"/>
      <c r="K185" s="261"/>
      <c r="L185" s="134"/>
    </row>
    <row r="186" spans="1:12" s="133" customFormat="1" ht="22.5" hidden="1" x14ac:dyDescent="0.2">
      <c r="A186" s="116" t="s">
        <v>191</v>
      </c>
      <c r="B186" s="117" t="s">
        <v>335</v>
      </c>
      <c r="C186" s="116" t="s">
        <v>7</v>
      </c>
      <c r="D186" s="120"/>
      <c r="E186" s="182">
        <v>54.19</v>
      </c>
      <c r="F186" s="147">
        <f t="shared" si="47"/>
        <v>66.87</v>
      </c>
      <c r="G186" s="115">
        <f t="shared" si="48"/>
        <v>0</v>
      </c>
      <c r="H186" s="273" t="s">
        <v>183</v>
      </c>
      <c r="I186" s="131"/>
      <c r="J186" s="257"/>
      <c r="K186" s="261"/>
      <c r="L186" s="134"/>
    </row>
    <row r="187" spans="1:12" s="133" customFormat="1" ht="22.5" hidden="1" x14ac:dyDescent="0.2">
      <c r="A187" s="116" t="s">
        <v>192</v>
      </c>
      <c r="B187" s="117" t="s">
        <v>336</v>
      </c>
      <c r="C187" s="116" t="s">
        <v>7</v>
      </c>
      <c r="D187" s="120"/>
      <c r="E187" s="182">
        <v>29.4</v>
      </c>
      <c r="F187" s="147">
        <f t="shared" si="47"/>
        <v>36.28</v>
      </c>
      <c r="G187" s="115">
        <f t="shared" si="48"/>
        <v>0</v>
      </c>
      <c r="H187" s="273" t="s">
        <v>182</v>
      </c>
      <c r="I187" s="131"/>
      <c r="J187" s="257"/>
      <c r="K187" s="261"/>
      <c r="L187" s="134"/>
    </row>
    <row r="188" spans="1:12" s="133" customFormat="1" ht="22.5" hidden="1" x14ac:dyDescent="0.2">
      <c r="A188" s="116" t="s">
        <v>193</v>
      </c>
      <c r="B188" s="117" t="s">
        <v>337</v>
      </c>
      <c r="C188" s="116" t="s">
        <v>3</v>
      </c>
      <c r="D188" s="120"/>
      <c r="E188" s="182">
        <v>118.87</v>
      </c>
      <c r="F188" s="147">
        <f t="shared" si="47"/>
        <v>146.69</v>
      </c>
      <c r="G188" s="115">
        <f t="shared" si="48"/>
        <v>0</v>
      </c>
      <c r="H188" s="273" t="s">
        <v>180</v>
      </c>
      <c r="I188" s="131"/>
      <c r="J188" s="257"/>
      <c r="K188" s="261"/>
      <c r="L188" s="134"/>
    </row>
    <row r="189" spans="1:12" s="133" customFormat="1" ht="22.5" hidden="1" x14ac:dyDescent="0.2">
      <c r="A189" s="116" t="s">
        <v>212</v>
      </c>
      <c r="B189" s="117" t="s">
        <v>338</v>
      </c>
      <c r="C189" s="116" t="s">
        <v>7</v>
      </c>
      <c r="D189" s="120"/>
      <c r="E189" s="182">
        <v>47.78</v>
      </c>
      <c r="F189" s="147">
        <f t="shared" si="47"/>
        <v>58.96</v>
      </c>
      <c r="G189" s="115">
        <f t="shared" si="48"/>
        <v>0</v>
      </c>
      <c r="H189" s="273" t="s">
        <v>181</v>
      </c>
      <c r="I189" s="131"/>
      <c r="J189" s="257"/>
      <c r="K189" s="261"/>
      <c r="L189" s="134"/>
    </row>
    <row r="190" spans="1:12" s="133" customFormat="1" hidden="1" x14ac:dyDescent="0.2">
      <c r="A190" s="116" t="s">
        <v>213</v>
      </c>
      <c r="B190" s="117" t="s">
        <v>288</v>
      </c>
      <c r="C190" s="116" t="s">
        <v>7</v>
      </c>
      <c r="D190" s="120"/>
      <c r="E190" s="182">
        <v>34.74</v>
      </c>
      <c r="F190" s="147">
        <f t="shared" si="47"/>
        <v>42.87</v>
      </c>
      <c r="G190" s="115">
        <f t="shared" si="48"/>
        <v>0</v>
      </c>
      <c r="H190" s="285"/>
      <c r="I190" s="131"/>
      <c r="J190" s="257"/>
      <c r="K190" s="261"/>
      <c r="L190" s="134"/>
    </row>
    <row r="191" spans="1:12" s="133" customFormat="1" ht="22.5" hidden="1" x14ac:dyDescent="0.2">
      <c r="A191" s="116" t="s">
        <v>214</v>
      </c>
      <c r="B191" s="117" t="s">
        <v>299</v>
      </c>
      <c r="C191" s="116" t="s">
        <v>10</v>
      </c>
      <c r="D191" s="120"/>
      <c r="E191" s="145">
        <v>36.4</v>
      </c>
      <c r="F191" s="147">
        <f t="shared" si="47"/>
        <v>44.92</v>
      </c>
      <c r="G191" s="115">
        <f t="shared" si="48"/>
        <v>0</v>
      </c>
      <c r="H191" s="273" t="s">
        <v>117</v>
      </c>
      <c r="I191" s="131"/>
      <c r="J191" s="257"/>
      <c r="K191" s="261"/>
      <c r="L191" s="134"/>
    </row>
    <row r="192" spans="1:12" s="133" customFormat="1" hidden="1" x14ac:dyDescent="0.2">
      <c r="A192" s="116" t="s">
        <v>215</v>
      </c>
      <c r="B192" s="117" t="s">
        <v>339</v>
      </c>
      <c r="C192" s="116" t="s">
        <v>7</v>
      </c>
      <c r="D192" s="120"/>
      <c r="E192" s="145">
        <v>42.3</v>
      </c>
      <c r="F192" s="147">
        <f t="shared" si="47"/>
        <v>52.2</v>
      </c>
      <c r="G192" s="115">
        <f t="shared" si="48"/>
        <v>0</v>
      </c>
      <c r="H192" s="286" t="s">
        <v>69</v>
      </c>
      <c r="I192" s="131"/>
      <c r="J192" s="257"/>
      <c r="K192" s="261"/>
      <c r="L192" s="134"/>
    </row>
    <row r="193" spans="1:13" s="133" customFormat="1" hidden="1" x14ac:dyDescent="0.2">
      <c r="A193" s="116" t="s">
        <v>216</v>
      </c>
      <c r="B193" s="117" t="s">
        <v>80</v>
      </c>
      <c r="C193" s="116" t="s">
        <v>7</v>
      </c>
      <c r="D193" s="120"/>
      <c r="E193" s="145">
        <v>114.73</v>
      </c>
      <c r="F193" s="147">
        <f t="shared" si="47"/>
        <v>141.58000000000001</v>
      </c>
      <c r="G193" s="115">
        <f t="shared" si="48"/>
        <v>0</v>
      </c>
      <c r="H193" s="285"/>
      <c r="I193" s="131"/>
      <c r="J193" s="257"/>
      <c r="K193" s="261"/>
      <c r="L193" s="134"/>
    </row>
    <row r="194" spans="1:13" s="133" customFormat="1" ht="22.5" hidden="1" x14ac:dyDescent="0.2">
      <c r="A194" s="116"/>
      <c r="B194" s="207" t="s">
        <v>185</v>
      </c>
      <c r="C194" s="116"/>
      <c r="D194" s="120"/>
      <c r="E194" s="182"/>
      <c r="F194" s="147"/>
      <c r="G194" s="115"/>
      <c r="H194" s="274"/>
      <c r="I194" s="131"/>
      <c r="J194" s="257"/>
      <c r="K194" s="261"/>
      <c r="L194" s="134"/>
    </row>
    <row r="195" spans="1:13" s="133" customFormat="1" hidden="1" x14ac:dyDescent="0.2">
      <c r="A195" s="116"/>
      <c r="B195" s="208" t="s">
        <v>186</v>
      </c>
      <c r="C195" s="116"/>
      <c r="D195" s="120"/>
      <c r="E195" s="182"/>
      <c r="F195" s="147"/>
      <c r="G195" s="115"/>
      <c r="H195" s="274"/>
      <c r="I195" s="131"/>
      <c r="J195" s="257"/>
      <c r="K195" s="261"/>
      <c r="L195" s="134"/>
    </row>
    <row r="196" spans="1:13" s="133" customFormat="1" x14ac:dyDescent="0.2">
      <c r="A196" s="116" t="s">
        <v>369</v>
      </c>
      <c r="B196" s="117" t="s">
        <v>378</v>
      </c>
      <c r="C196" s="116" t="s">
        <v>43</v>
      </c>
      <c r="D196" s="120">
        <v>1</v>
      </c>
      <c r="E196" s="182">
        <v>1150</v>
      </c>
      <c r="F196" s="147">
        <f t="shared" ref="F196" si="49">ROUND(E196*$G$2,2)</f>
        <v>1419.1</v>
      </c>
      <c r="G196" s="115">
        <f t="shared" ref="G196" si="50">ROUND(F196*D196,2)</f>
        <v>1419.1</v>
      </c>
      <c r="H196" s="282" t="s">
        <v>379</v>
      </c>
      <c r="I196" s="153"/>
      <c r="J196" s="257"/>
      <c r="K196" s="261"/>
      <c r="L196" s="134"/>
    </row>
    <row r="197" spans="1:13" s="133" customFormat="1" x14ac:dyDescent="0.2">
      <c r="A197" s="209"/>
      <c r="B197" s="119" t="s">
        <v>37</v>
      </c>
      <c r="C197" s="209"/>
      <c r="D197" s="210"/>
      <c r="E197" s="182"/>
      <c r="F197" s="147"/>
      <c r="G197" s="129">
        <f>SUM(G163:G196)</f>
        <v>6896.8200000000015</v>
      </c>
      <c r="H197" s="274"/>
      <c r="I197" s="131"/>
      <c r="J197" s="257"/>
      <c r="K197" s="261"/>
      <c r="L197" s="134"/>
    </row>
    <row r="198" spans="1:13" s="133" customFormat="1" x14ac:dyDescent="0.2">
      <c r="A198" s="111">
        <v>15</v>
      </c>
      <c r="B198" s="165" t="s">
        <v>168</v>
      </c>
      <c r="C198" s="113"/>
      <c r="D198" s="120"/>
      <c r="E198" s="145"/>
      <c r="F198" s="147"/>
      <c r="G198" s="115"/>
      <c r="H198" s="274"/>
      <c r="I198" s="131"/>
      <c r="J198" s="257"/>
      <c r="K198" s="261"/>
      <c r="L198" s="134"/>
    </row>
    <row r="199" spans="1:13" s="133" customFormat="1" x14ac:dyDescent="0.2">
      <c r="A199" s="136" t="s">
        <v>167</v>
      </c>
      <c r="B199" s="117" t="s">
        <v>293</v>
      </c>
      <c r="C199" s="116" t="s">
        <v>3</v>
      </c>
      <c r="D199" s="147">
        <v>140.56</v>
      </c>
      <c r="E199" s="145">
        <v>2.4</v>
      </c>
      <c r="F199" s="147">
        <f t="shared" ref="F199" si="51">ROUND(E199*$G$2,2)</f>
        <v>2.96</v>
      </c>
      <c r="G199" s="115">
        <f t="shared" ref="G199" si="52">ROUND(F199*D199,2)</f>
        <v>416.06</v>
      </c>
      <c r="H199" s="282">
        <v>9537</v>
      </c>
      <c r="I199" s="131"/>
      <c r="J199" s="257"/>
      <c r="K199" s="261"/>
      <c r="L199" s="134"/>
    </row>
    <row r="200" spans="1:13" s="133" customFormat="1" x14ac:dyDescent="0.2">
      <c r="A200" s="128"/>
      <c r="B200" s="119" t="s">
        <v>37</v>
      </c>
      <c r="C200" s="128"/>
      <c r="D200" s="135"/>
      <c r="E200" s="146"/>
      <c r="F200" s="146"/>
      <c r="G200" s="129">
        <f>SUM(G199)</f>
        <v>416.06</v>
      </c>
      <c r="H200" s="271"/>
      <c r="I200" s="131"/>
      <c r="J200" s="257"/>
      <c r="K200" s="261"/>
      <c r="L200" s="134"/>
    </row>
    <row r="201" spans="1:13" s="80" customFormat="1" ht="12" customHeight="1" x14ac:dyDescent="0.2">
      <c r="A201" s="124"/>
      <c r="B201" s="124" t="s">
        <v>38</v>
      </c>
      <c r="C201" s="124"/>
      <c r="D201" s="124"/>
      <c r="E201" s="124"/>
      <c r="F201" s="124"/>
      <c r="G201" s="180">
        <f>G23+G32+G49+G53+G60+G73+G79+G84+G119+G128+G134+G147+G161+G197+G200</f>
        <v>137027.15000000002</v>
      </c>
      <c r="H201" s="94"/>
      <c r="I201" s="127"/>
      <c r="J201" s="257"/>
      <c r="K201" s="255"/>
      <c r="L201" s="92"/>
    </row>
    <row r="202" spans="1:13" s="94" customFormat="1" x14ac:dyDescent="0.2">
      <c r="A202" s="77"/>
      <c r="B202" s="76"/>
      <c r="C202" s="77"/>
      <c r="D202" s="78"/>
      <c r="E202" s="139"/>
      <c r="F202" s="139"/>
      <c r="G202" s="95"/>
      <c r="I202" s="127"/>
      <c r="J202" s="257"/>
      <c r="K202" s="258"/>
      <c r="L202" s="92"/>
    </row>
    <row r="203" spans="1:13" s="94" customFormat="1" ht="13.5" hidden="1" thickBot="1" x14ac:dyDescent="0.25">
      <c r="A203" s="288" t="s">
        <v>188</v>
      </c>
      <c r="B203" s="289"/>
      <c r="C203" s="289"/>
      <c r="D203" s="289"/>
      <c r="E203" s="289"/>
      <c r="F203" s="289"/>
      <c r="G203" s="290"/>
      <c r="I203" s="127"/>
      <c r="J203" s="257"/>
      <c r="K203" s="258"/>
      <c r="L203" s="92"/>
    </row>
    <row r="204" spans="1:13" s="94" customFormat="1" hidden="1" x14ac:dyDescent="0.2">
      <c r="A204" s="219" t="s">
        <v>33</v>
      </c>
      <c r="B204" s="220" t="s">
        <v>159</v>
      </c>
      <c r="C204" s="219" t="s">
        <v>3</v>
      </c>
      <c r="D204" s="221">
        <v>16.03</v>
      </c>
      <c r="E204" s="125">
        <v>544.82000000000005</v>
      </c>
      <c r="F204" s="222">
        <f t="shared" ref="F204:F205" si="53">ROUND(E204*$G$2,2)</f>
        <v>672.31</v>
      </c>
      <c r="G204" s="223">
        <f t="shared" ref="G204:G205" si="54">ROUND(F204*D204,2)</f>
        <v>10777.13</v>
      </c>
      <c r="H204" s="173" t="s">
        <v>171</v>
      </c>
      <c r="I204" s="217"/>
      <c r="J204" s="257"/>
      <c r="K204" s="258"/>
      <c r="L204" s="92"/>
    </row>
    <row r="205" spans="1:13" s="94" customFormat="1" ht="22.5" hidden="1" x14ac:dyDescent="0.2">
      <c r="A205" s="219" t="s">
        <v>1</v>
      </c>
      <c r="B205" s="158" t="s">
        <v>170</v>
      </c>
      <c r="C205" s="159" t="s">
        <v>3</v>
      </c>
      <c r="D205" s="120">
        <v>3.75</v>
      </c>
      <c r="E205" s="182">
        <v>415</v>
      </c>
      <c r="F205" s="147">
        <f t="shared" si="53"/>
        <v>512.11</v>
      </c>
      <c r="G205" s="115">
        <f t="shared" si="54"/>
        <v>1920.41</v>
      </c>
      <c r="H205" s="173" t="s">
        <v>171</v>
      </c>
      <c r="I205" s="217"/>
      <c r="J205" s="257"/>
      <c r="K205" s="258"/>
      <c r="L205" s="92"/>
    </row>
    <row r="206" spans="1:13" s="152" customFormat="1" hidden="1" x14ac:dyDescent="0.2">
      <c r="A206" s="219" t="s">
        <v>2</v>
      </c>
      <c r="B206" s="154" t="s">
        <v>83</v>
      </c>
      <c r="C206" s="122" t="s">
        <v>7</v>
      </c>
      <c r="D206" s="120">
        <v>2</v>
      </c>
      <c r="E206" s="145">
        <v>313.23</v>
      </c>
      <c r="F206" s="147">
        <f>ROUND(E206*$G$2,2)</f>
        <v>386.53</v>
      </c>
      <c r="G206" s="115">
        <f>ROUND(F206*D206,2)</f>
        <v>773.06</v>
      </c>
      <c r="H206" s="173" t="s">
        <v>82</v>
      </c>
      <c r="I206" s="155"/>
      <c r="J206" s="156"/>
      <c r="K206" s="257"/>
      <c r="L206" s="157"/>
      <c r="M206" s="95"/>
    </row>
    <row r="207" spans="1:13" s="161" customFormat="1" ht="12" hidden="1" customHeight="1" x14ac:dyDescent="0.2">
      <c r="A207" s="219" t="s">
        <v>103</v>
      </c>
      <c r="B207" s="158" t="s">
        <v>84</v>
      </c>
      <c r="C207" s="122" t="s">
        <v>7</v>
      </c>
      <c r="D207" s="120">
        <v>1</v>
      </c>
      <c r="E207" s="145">
        <v>440.29</v>
      </c>
      <c r="F207" s="147">
        <f t="shared" ref="F207:F208" si="55">ROUND(E207*$G$2,2)</f>
        <v>543.32000000000005</v>
      </c>
      <c r="G207" s="115">
        <f t="shared" ref="G207:G208" si="56">ROUND(F207*D207,2)</f>
        <v>543.32000000000005</v>
      </c>
      <c r="H207" s="173" t="s">
        <v>81</v>
      </c>
      <c r="I207" s="155"/>
      <c r="J207" s="156"/>
      <c r="K207" s="257"/>
      <c r="L207" s="160"/>
      <c r="M207" s="92"/>
    </row>
    <row r="208" spans="1:13" s="161" customFormat="1" ht="12" hidden="1" customHeight="1" x14ac:dyDescent="0.2">
      <c r="A208" s="219" t="s">
        <v>108</v>
      </c>
      <c r="B208" s="158" t="s">
        <v>158</v>
      </c>
      <c r="C208" s="122" t="s">
        <v>7</v>
      </c>
      <c r="D208" s="120">
        <v>1</v>
      </c>
      <c r="E208" s="145">
        <v>4725</v>
      </c>
      <c r="F208" s="147">
        <f t="shared" si="55"/>
        <v>5830.65</v>
      </c>
      <c r="G208" s="115">
        <f t="shared" si="56"/>
        <v>5830.65</v>
      </c>
      <c r="H208" s="173" t="s">
        <v>187</v>
      </c>
      <c r="I208" s="217"/>
      <c r="J208" s="156"/>
      <c r="K208" s="257"/>
      <c r="L208" s="160"/>
      <c r="M208" s="92"/>
    </row>
    <row r="209" spans="1:12" hidden="1" x14ac:dyDescent="0.2">
      <c r="A209" s="219" t="s">
        <v>120</v>
      </c>
      <c r="B209" s="117" t="s">
        <v>173</v>
      </c>
      <c r="C209" s="116" t="s">
        <v>7</v>
      </c>
      <c r="D209" s="120">
        <v>5</v>
      </c>
      <c r="E209" s="145">
        <v>1289.46</v>
      </c>
      <c r="F209" s="147">
        <f>ROUND(E209*$G$2,2)</f>
        <v>1591.19</v>
      </c>
      <c r="G209" s="115">
        <f>ROUND(F209*D209,2)</f>
        <v>7955.95</v>
      </c>
      <c r="H209" s="170" t="s">
        <v>172</v>
      </c>
      <c r="I209" s="217"/>
      <c r="J209" s="257"/>
      <c r="K209" s="255"/>
      <c r="L209" s="92"/>
    </row>
    <row r="210" spans="1:12" hidden="1" x14ac:dyDescent="0.2">
      <c r="A210" s="219" t="s">
        <v>217</v>
      </c>
      <c r="B210" s="117" t="s">
        <v>114</v>
      </c>
      <c r="C210" s="116" t="s">
        <v>7</v>
      </c>
      <c r="D210" s="120">
        <v>3</v>
      </c>
      <c r="E210" s="145">
        <v>101.48</v>
      </c>
      <c r="F210" s="147">
        <f>ROUND(E210*$G$2,2)</f>
        <v>125.23</v>
      </c>
      <c r="G210" s="115">
        <f>ROUND(F210*D210,2)</f>
        <v>375.69</v>
      </c>
      <c r="H210" s="170" t="s">
        <v>115</v>
      </c>
      <c r="I210" s="217"/>
      <c r="J210" s="257"/>
      <c r="K210" s="255"/>
      <c r="L210" s="92"/>
    </row>
    <row r="211" spans="1:12" ht="12.75" hidden="1" customHeight="1" x14ac:dyDescent="0.2">
      <c r="A211" s="219" t="s">
        <v>218</v>
      </c>
      <c r="B211" s="117" t="s">
        <v>174</v>
      </c>
      <c r="C211" s="116" t="s">
        <v>7</v>
      </c>
      <c r="D211" s="120">
        <v>2</v>
      </c>
      <c r="E211" s="145">
        <v>703.45</v>
      </c>
      <c r="F211" s="147">
        <f t="shared" ref="F211:F218" si="57">ROUND(E211*$G$2,2)</f>
        <v>868.06</v>
      </c>
      <c r="G211" s="115">
        <f t="shared" ref="G211:G218" si="58">ROUND(F211*D211,2)</f>
        <v>1736.12</v>
      </c>
      <c r="H211" s="170" t="s">
        <v>113</v>
      </c>
      <c r="I211" s="217"/>
      <c r="J211" s="257"/>
      <c r="K211" s="255"/>
      <c r="L211" s="95"/>
    </row>
    <row r="212" spans="1:12" hidden="1" x14ac:dyDescent="0.2">
      <c r="A212" s="219" t="s">
        <v>219</v>
      </c>
      <c r="B212" s="117" t="s">
        <v>74</v>
      </c>
      <c r="C212" s="116" t="s">
        <v>7</v>
      </c>
      <c r="D212" s="120">
        <v>1</v>
      </c>
      <c r="E212" s="182">
        <v>1584</v>
      </c>
      <c r="F212" s="147">
        <f t="shared" si="57"/>
        <v>1954.66</v>
      </c>
      <c r="G212" s="115">
        <f t="shared" si="58"/>
        <v>1954.66</v>
      </c>
      <c r="H212" s="170" t="s">
        <v>152</v>
      </c>
      <c r="I212" s="217"/>
      <c r="J212" s="257"/>
      <c r="K212" s="255"/>
      <c r="L212" s="92"/>
    </row>
    <row r="213" spans="1:12" hidden="1" x14ac:dyDescent="0.2">
      <c r="A213" s="219" t="s">
        <v>220</v>
      </c>
      <c r="B213" s="117" t="s">
        <v>176</v>
      </c>
      <c r="C213" s="116" t="s">
        <v>7</v>
      </c>
      <c r="D213" s="120">
        <v>1</v>
      </c>
      <c r="E213" s="145">
        <v>770.72</v>
      </c>
      <c r="F213" s="147">
        <f t="shared" si="57"/>
        <v>951.07</v>
      </c>
      <c r="G213" s="115">
        <f t="shared" si="58"/>
        <v>951.07</v>
      </c>
      <c r="H213" s="170" t="s">
        <v>113</v>
      </c>
      <c r="I213" s="217"/>
      <c r="J213" s="257"/>
      <c r="K213" s="255"/>
      <c r="L213" s="92"/>
    </row>
    <row r="214" spans="1:12" hidden="1" x14ac:dyDescent="0.2">
      <c r="A214" s="219" t="s">
        <v>221</v>
      </c>
      <c r="B214" s="167" t="s">
        <v>175</v>
      </c>
      <c r="C214" s="116" t="s">
        <v>7</v>
      </c>
      <c r="D214" s="120">
        <v>1</v>
      </c>
      <c r="E214" s="145">
        <v>642.26</v>
      </c>
      <c r="F214" s="147">
        <f t="shared" si="57"/>
        <v>792.55</v>
      </c>
      <c r="G214" s="115">
        <f t="shared" si="58"/>
        <v>792.55</v>
      </c>
      <c r="H214" s="170" t="s">
        <v>113</v>
      </c>
      <c r="I214" s="217"/>
      <c r="J214" s="257"/>
      <c r="K214" s="255"/>
      <c r="L214" s="92"/>
    </row>
    <row r="215" spans="1:12" s="94" customFormat="1" hidden="1" x14ac:dyDescent="0.2">
      <c r="A215" s="219" t="s">
        <v>222</v>
      </c>
      <c r="B215" s="167" t="s">
        <v>98</v>
      </c>
      <c r="C215" s="116" t="s">
        <v>43</v>
      </c>
      <c r="D215" s="120">
        <v>12</v>
      </c>
      <c r="E215" s="145">
        <v>64.489999999999995</v>
      </c>
      <c r="F215" s="147">
        <f t="shared" si="57"/>
        <v>79.58</v>
      </c>
      <c r="G215" s="115">
        <f t="shared" si="58"/>
        <v>954.96</v>
      </c>
      <c r="I215" s="127"/>
      <c r="J215" s="257"/>
      <c r="K215" s="258"/>
      <c r="L215" s="92"/>
    </row>
    <row r="216" spans="1:12" s="94" customFormat="1" hidden="1" x14ac:dyDescent="0.2">
      <c r="A216" s="219" t="s">
        <v>223</v>
      </c>
      <c r="B216" s="118" t="s">
        <v>36</v>
      </c>
      <c r="C216" s="116" t="s">
        <v>7</v>
      </c>
      <c r="D216" s="120">
        <v>2</v>
      </c>
      <c r="E216" s="145">
        <v>88.38</v>
      </c>
      <c r="F216" s="147">
        <f t="shared" si="57"/>
        <v>109.06</v>
      </c>
      <c r="G216" s="115">
        <f t="shared" si="58"/>
        <v>218.12</v>
      </c>
      <c r="H216" s="175" t="s">
        <v>133</v>
      </c>
      <c r="I216" s="127"/>
      <c r="J216" s="257"/>
      <c r="K216" s="258"/>
      <c r="L216" s="92"/>
    </row>
    <row r="217" spans="1:12" s="94" customFormat="1" hidden="1" x14ac:dyDescent="0.2">
      <c r="A217" s="219" t="s">
        <v>224</v>
      </c>
      <c r="B217" s="118" t="s">
        <v>156</v>
      </c>
      <c r="C217" s="116" t="s">
        <v>7</v>
      </c>
      <c r="D217" s="120">
        <v>2</v>
      </c>
      <c r="E217" s="145">
        <v>48.99</v>
      </c>
      <c r="F217" s="147">
        <f t="shared" si="57"/>
        <v>60.45</v>
      </c>
      <c r="G217" s="115">
        <f t="shared" si="58"/>
        <v>120.9</v>
      </c>
      <c r="H217" s="170" t="s">
        <v>155</v>
      </c>
      <c r="I217" s="127"/>
      <c r="J217" s="257"/>
      <c r="K217" s="258"/>
      <c r="L217" s="92"/>
    </row>
    <row r="218" spans="1:12" s="94" customFormat="1" hidden="1" x14ac:dyDescent="0.2">
      <c r="A218" s="219" t="s">
        <v>225</v>
      </c>
      <c r="B218" s="117" t="s">
        <v>135</v>
      </c>
      <c r="C218" s="116" t="s">
        <v>7</v>
      </c>
      <c r="D218" s="120">
        <v>1</v>
      </c>
      <c r="E218" s="145">
        <v>60.47</v>
      </c>
      <c r="F218" s="147">
        <f t="shared" si="57"/>
        <v>74.62</v>
      </c>
      <c r="G218" s="115">
        <f t="shared" si="58"/>
        <v>74.62</v>
      </c>
      <c r="H218" s="170" t="s">
        <v>134</v>
      </c>
      <c r="I218" s="127"/>
      <c r="J218" s="257"/>
      <c r="K218" s="258"/>
      <c r="L218" s="92"/>
    </row>
    <row r="219" spans="1:12" s="94" customFormat="1" hidden="1" x14ac:dyDescent="0.2">
      <c r="A219" s="229"/>
      <c r="B219" s="119" t="s">
        <v>189</v>
      </c>
      <c r="C219" s="229"/>
      <c r="D219" s="230"/>
      <c r="E219" s="231"/>
      <c r="F219" s="232"/>
      <c r="G219" s="234">
        <f>SUM(G204:G218)</f>
        <v>34979.210000000006</v>
      </c>
      <c r="H219" s="233"/>
      <c r="I219" s="127"/>
      <c r="J219" s="257"/>
      <c r="K219" s="258"/>
      <c r="L219" s="92"/>
    </row>
    <row r="220" spans="1:12" s="94" customFormat="1" x14ac:dyDescent="0.2">
      <c r="A220" s="107"/>
      <c r="B220" s="109"/>
      <c r="C220" s="107"/>
      <c r="D220" s="97"/>
      <c r="E220" s="148"/>
      <c r="F220" s="196"/>
      <c r="G220" s="95"/>
      <c r="H220" s="235"/>
      <c r="I220" s="127"/>
      <c r="J220" s="257"/>
      <c r="K220" s="258"/>
      <c r="L220" s="92"/>
    </row>
    <row r="221" spans="1:12" s="94" customFormat="1" x14ac:dyDescent="0.2">
      <c r="A221" s="107"/>
      <c r="B221" s="109"/>
      <c r="C221" s="107"/>
      <c r="D221" s="97"/>
      <c r="E221" s="148"/>
      <c r="F221" s="196"/>
      <c r="G221" s="95"/>
      <c r="H221" s="235"/>
      <c r="I221" s="127"/>
      <c r="J221" s="257"/>
      <c r="K221" s="258"/>
      <c r="L221" s="92"/>
    </row>
    <row r="222" spans="1:12" s="94" customFormat="1" x14ac:dyDescent="0.2">
      <c r="A222" s="107"/>
      <c r="B222" s="109"/>
      <c r="C222" s="107"/>
      <c r="D222" s="97"/>
      <c r="E222" s="148"/>
      <c r="F222" s="196"/>
      <c r="G222" s="95"/>
      <c r="H222" s="235"/>
      <c r="I222" s="127"/>
      <c r="J222" s="257"/>
      <c r="K222" s="258"/>
      <c r="L222" s="92"/>
    </row>
    <row r="223" spans="1:12" s="94" customFormat="1" x14ac:dyDescent="0.2">
      <c r="A223" s="107"/>
      <c r="B223" s="109"/>
      <c r="C223" s="107"/>
      <c r="D223" s="97"/>
      <c r="E223" s="148"/>
      <c r="F223" s="196"/>
      <c r="G223" s="95"/>
      <c r="H223" s="235"/>
      <c r="I223" s="127"/>
      <c r="J223" s="257"/>
      <c r="K223" s="258"/>
      <c r="L223" s="92"/>
    </row>
    <row r="224" spans="1:12" s="94" customFormat="1" x14ac:dyDescent="0.2">
      <c r="A224" s="107"/>
      <c r="B224" s="109"/>
      <c r="C224" s="107"/>
      <c r="D224" s="97"/>
      <c r="E224" s="148"/>
      <c r="F224" s="196"/>
      <c r="G224" s="95"/>
      <c r="H224" s="235"/>
      <c r="I224" s="127"/>
      <c r="J224" s="257"/>
      <c r="K224" s="258"/>
      <c r="L224" s="92"/>
    </row>
    <row r="225" spans="1:12" s="94" customFormat="1" x14ac:dyDescent="0.2">
      <c r="A225" s="77"/>
      <c r="B225" s="76"/>
      <c r="C225" s="77"/>
      <c r="D225" s="78"/>
      <c r="E225" s="139"/>
      <c r="F225" s="139"/>
      <c r="G225" s="95"/>
      <c r="I225" s="127"/>
      <c r="J225" s="257"/>
      <c r="K225" s="258"/>
      <c r="L225" s="92"/>
    </row>
    <row r="226" spans="1:12" s="94" customFormat="1" ht="14.25" customHeight="1" x14ac:dyDescent="0.3">
      <c r="A226" s="77"/>
      <c r="B226" s="291" t="s">
        <v>142</v>
      </c>
      <c r="C226" s="291"/>
      <c r="D226" s="166"/>
      <c r="E226" s="178"/>
      <c r="F226" s="179"/>
      <c r="G226" s="179"/>
      <c r="H226" s="179"/>
      <c r="I226" s="127"/>
      <c r="J226" s="257"/>
      <c r="K226" s="258"/>
      <c r="L226" s="92"/>
    </row>
    <row r="227" spans="1:12" s="80" customFormat="1" ht="12.75" customHeight="1" x14ac:dyDescent="0.2">
      <c r="A227" s="77"/>
      <c r="B227" s="239"/>
      <c r="C227" s="239"/>
      <c r="D227" s="239"/>
      <c r="E227" s="239"/>
      <c r="F227" s="239"/>
      <c r="G227" s="239"/>
      <c r="H227" s="181"/>
      <c r="I227" s="127"/>
      <c r="J227" s="257"/>
      <c r="K227" s="255"/>
      <c r="L227" s="81"/>
    </row>
    <row r="228" spans="1:12" s="80" customFormat="1" x14ac:dyDescent="0.2">
      <c r="A228" s="190" t="s">
        <v>241</v>
      </c>
      <c r="B228" s="243" t="s">
        <v>234</v>
      </c>
      <c r="C228" s="239"/>
      <c r="D228" s="239"/>
      <c r="E228" s="239"/>
      <c r="F228" s="239"/>
      <c r="G228" s="239"/>
      <c r="H228" s="181"/>
      <c r="I228" s="127"/>
      <c r="J228" s="257"/>
      <c r="K228" s="255"/>
      <c r="L228" s="81"/>
    </row>
    <row r="229" spans="1:12" s="80" customFormat="1" x14ac:dyDescent="0.2">
      <c r="A229" s="190"/>
      <c r="B229" s="243" t="s">
        <v>410</v>
      </c>
      <c r="C229" s="77"/>
      <c r="D229" s="78"/>
      <c r="E229" s="139"/>
      <c r="F229" s="139"/>
      <c r="G229" s="95"/>
      <c r="I229" s="127"/>
      <c r="J229" s="257"/>
      <c r="K229" s="255"/>
      <c r="L229" s="95"/>
    </row>
    <row r="230" spans="1:12" s="80" customFormat="1" x14ac:dyDescent="0.2">
      <c r="A230" s="190"/>
      <c r="B230" s="243" t="s">
        <v>396</v>
      </c>
      <c r="C230" s="77"/>
      <c r="D230" s="78"/>
      <c r="E230" s="139"/>
      <c r="F230" s="139"/>
      <c r="G230" s="95"/>
      <c r="I230" s="127"/>
      <c r="J230" s="257"/>
      <c r="K230" s="255"/>
      <c r="L230" s="95"/>
    </row>
    <row r="231" spans="1:12" s="80" customFormat="1" x14ac:dyDescent="0.2">
      <c r="A231" s="190"/>
      <c r="B231" s="243" t="s">
        <v>411</v>
      </c>
      <c r="C231" s="194"/>
      <c r="D231" s="100"/>
      <c r="E231" s="200"/>
      <c r="F231" s="139"/>
      <c r="G231" s="95"/>
      <c r="I231" s="127"/>
      <c r="J231" s="257"/>
      <c r="K231" s="255"/>
      <c r="L231" s="95"/>
    </row>
    <row r="232" spans="1:12" s="80" customFormat="1" x14ac:dyDescent="0.2">
      <c r="A232" s="190"/>
      <c r="B232" s="243" t="s">
        <v>233</v>
      </c>
      <c r="C232" s="194"/>
      <c r="D232" s="100"/>
      <c r="E232" s="201"/>
      <c r="F232" s="139"/>
      <c r="G232" s="95"/>
      <c r="I232" s="127"/>
      <c r="J232" s="91"/>
      <c r="L232" s="95"/>
    </row>
    <row r="233" spans="1:12" s="80" customFormat="1" x14ac:dyDescent="0.2">
      <c r="A233" s="244"/>
      <c r="B233" s="245" t="s">
        <v>235</v>
      </c>
      <c r="C233" s="194"/>
      <c r="D233" s="100"/>
      <c r="E233" s="201"/>
      <c r="F233" s="139"/>
      <c r="G233" s="95"/>
      <c r="I233" s="127"/>
      <c r="J233" s="91"/>
      <c r="L233" s="95"/>
    </row>
    <row r="234" spans="1:12" s="80" customFormat="1" x14ac:dyDescent="0.2">
      <c r="A234" s="244"/>
      <c r="B234" s="245"/>
      <c r="C234" s="199"/>
      <c r="D234" s="202"/>
      <c r="E234" s="139"/>
      <c r="F234" s="139"/>
      <c r="G234" s="95"/>
      <c r="I234" s="127"/>
      <c r="J234" s="91"/>
      <c r="L234" s="95"/>
    </row>
    <row r="235" spans="1:12" s="80" customFormat="1" x14ac:dyDescent="0.2">
      <c r="A235" s="246"/>
      <c r="B235" s="247" t="s">
        <v>236</v>
      </c>
      <c r="C235" s="77"/>
      <c r="D235" s="78"/>
      <c r="E235" s="139"/>
      <c r="F235" s="139"/>
      <c r="G235" s="95"/>
      <c r="I235" s="127"/>
      <c r="J235" s="91"/>
      <c r="L235" s="95"/>
    </row>
    <row r="236" spans="1:12" s="80" customFormat="1" x14ac:dyDescent="0.2">
      <c r="A236" s="246"/>
      <c r="B236" s="247" t="s">
        <v>412</v>
      </c>
      <c r="C236" s="94"/>
      <c r="D236" s="94"/>
      <c r="E236" s="148"/>
      <c r="F236" s="148"/>
      <c r="G236" s="95"/>
      <c r="I236" s="127"/>
      <c r="J236" s="91"/>
      <c r="L236" s="92"/>
    </row>
    <row r="237" spans="1:12" s="80" customFormat="1" x14ac:dyDescent="0.2">
      <c r="A237" s="107"/>
      <c r="B237" s="247" t="s">
        <v>236</v>
      </c>
      <c r="C237" s="188"/>
      <c r="D237" s="104"/>
      <c r="E237" s="148"/>
      <c r="F237" s="148"/>
      <c r="G237" s="95"/>
      <c r="I237" s="127"/>
      <c r="J237" s="91"/>
      <c r="L237" s="92"/>
    </row>
    <row r="238" spans="1:12" s="80" customFormat="1" x14ac:dyDescent="0.2">
      <c r="A238" s="107"/>
      <c r="B238" s="247" t="s">
        <v>412</v>
      </c>
      <c r="C238" s="188"/>
      <c r="D238" s="104"/>
      <c r="E238" s="148"/>
      <c r="F238" s="148"/>
      <c r="G238" s="95"/>
      <c r="I238" s="127"/>
      <c r="J238" s="91"/>
      <c r="L238" s="92"/>
    </row>
    <row r="239" spans="1:12" s="80" customFormat="1" ht="12" customHeight="1" x14ac:dyDescent="0.2">
      <c r="A239" s="107"/>
      <c r="B239" s="247" t="s">
        <v>413</v>
      </c>
      <c r="C239" s="188"/>
      <c r="D239" s="104"/>
      <c r="E239" s="148"/>
      <c r="F239" s="148"/>
      <c r="G239" s="95"/>
      <c r="I239" s="127"/>
      <c r="J239" s="91"/>
      <c r="L239" s="92"/>
    </row>
    <row r="240" spans="1:12" s="80" customFormat="1" ht="12" customHeight="1" x14ac:dyDescent="0.2">
      <c r="A240" s="107"/>
      <c r="B240" s="247" t="s">
        <v>397</v>
      </c>
      <c r="C240" s="197"/>
      <c r="D240" s="190"/>
      <c r="E240" s="148"/>
      <c r="F240" s="148"/>
      <c r="G240" s="95"/>
      <c r="I240" s="127"/>
      <c r="J240" s="91"/>
      <c r="L240" s="92"/>
    </row>
    <row r="241" spans="1:12" s="80" customFormat="1" x14ac:dyDescent="0.2">
      <c r="A241" s="107"/>
      <c r="B241" s="247" t="s">
        <v>414</v>
      </c>
      <c r="C241" s="194"/>
      <c r="D241" s="78"/>
      <c r="E241" s="139"/>
      <c r="F241" s="139"/>
      <c r="G241" s="95"/>
      <c r="I241" s="127"/>
      <c r="J241" s="91"/>
      <c r="L241" s="95"/>
    </row>
    <row r="242" spans="1:12" s="80" customFormat="1" x14ac:dyDescent="0.2">
      <c r="A242" s="77"/>
      <c r="B242" s="76"/>
      <c r="C242" s="77"/>
      <c r="D242" s="78"/>
      <c r="E242" s="139"/>
      <c r="F242" s="139"/>
      <c r="G242" s="95"/>
      <c r="I242" s="127"/>
      <c r="J242" s="91"/>
      <c r="L242" s="95"/>
    </row>
    <row r="243" spans="1:12" s="80" customFormat="1" x14ac:dyDescent="0.2">
      <c r="A243" s="77"/>
      <c r="B243" s="76"/>
      <c r="C243" s="194"/>
      <c r="D243" s="78"/>
      <c r="E243" s="139"/>
      <c r="F243" s="139"/>
      <c r="G243" s="95"/>
      <c r="I243" s="127"/>
      <c r="J243" s="91"/>
      <c r="L243" s="95"/>
    </row>
    <row r="244" spans="1:12" x14ac:dyDescent="0.2">
      <c r="C244" s="189"/>
      <c r="D244" s="203"/>
      <c r="E244" s="148"/>
      <c r="F244" s="148"/>
      <c r="G244" s="110"/>
      <c r="I244" s="127"/>
      <c r="J244" s="91"/>
      <c r="K244" s="80"/>
      <c r="L244" s="92"/>
    </row>
    <row r="245" spans="1:12" s="94" customFormat="1" x14ac:dyDescent="0.2">
      <c r="A245" s="77"/>
      <c r="B245" s="243" t="s">
        <v>237</v>
      </c>
      <c r="C245" s="176"/>
      <c r="D245" s="100"/>
      <c r="E245" s="139"/>
      <c r="F245" s="139"/>
      <c r="G245" s="95"/>
      <c r="I245" s="127"/>
      <c r="J245" s="91"/>
      <c r="K245" s="81"/>
      <c r="L245" s="92"/>
    </row>
    <row r="246" spans="1:12" s="94" customFormat="1" x14ac:dyDescent="0.2">
      <c r="A246" s="77"/>
      <c r="B246" s="243" t="s">
        <v>410</v>
      </c>
      <c r="C246" s="192"/>
      <c r="D246" s="95"/>
      <c r="F246" s="140"/>
      <c r="G246" s="95"/>
      <c r="I246" s="127"/>
      <c r="J246" s="91"/>
      <c r="L246" s="92"/>
    </row>
    <row r="247" spans="1:12" s="94" customFormat="1" x14ac:dyDescent="0.2">
      <c r="A247" s="77"/>
      <c r="B247" s="243" t="s">
        <v>396</v>
      </c>
      <c r="C247" s="192"/>
      <c r="D247" s="177"/>
      <c r="F247" s="140"/>
      <c r="G247" s="95"/>
      <c r="I247" s="127"/>
      <c r="J247" s="91"/>
      <c r="L247" s="92"/>
    </row>
    <row r="248" spans="1:12" s="94" customFormat="1" x14ac:dyDescent="0.2">
      <c r="A248" s="77"/>
      <c r="B248" s="243" t="s">
        <v>411</v>
      </c>
      <c r="C248" s="193"/>
      <c r="D248" s="95"/>
      <c r="E248" s="140"/>
      <c r="F248" s="140"/>
      <c r="G248" s="95"/>
      <c r="I248" s="127"/>
      <c r="J248" s="91"/>
      <c r="L248" s="92"/>
    </row>
    <row r="249" spans="1:12" s="94" customFormat="1" x14ac:dyDescent="0.2">
      <c r="A249" s="77"/>
      <c r="B249" s="243" t="s">
        <v>233</v>
      </c>
      <c r="C249" s="193"/>
      <c r="D249" s="95"/>
      <c r="E249" s="140"/>
      <c r="F249" s="140"/>
      <c r="G249" s="95"/>
      <c r="I249" s="127"/>
      <c r="J249" s="91"/>
      <c r="L249" s="92"/>
    </row>
    <row r="250" spans="1:12" s="80" customFormat="1" x14ac:dyDescent="0.2">
      <c r="A250" s="77"/>
      <c r="B250" s="245" t="s">
        <v>235</v>
      </c>
      <c r="C250" s="107"/>
      <c r="D250" s="196"/>
      <c r="E250" s="195"/>
      <c r="F250" s="196"/>
      <c r="G250" s="95"/>
      <c r="H250" s="174"/>
      <c r="I250" s="92"/>
      <c r="J250" s="91"/>
      <c r="L250" s="81"/>
    </row>
    <row r="251" spans="1:12" s="80" customFormat="1" x14ac:dyDescent="0.2">
      <c r="A251" s="77"/>
      <c r="B251" s="245"/>
      <c r="C251" s="191"/>
      <c r="D251" s="81"/>
      <c r="E251" s="140"/>
      <c r="F251" s="140"/>
      <c r="G251" s="95"/>
      <c r="I251" s="127"/>
      <c r="J251" s="91"/>
      <c r="L251" s="81"/>
    </row>
    <row r="252" spans="1:12" s="94" customFormat="1" x14ac:dyDescent="0.2">
      <c r="A252" s="77"/>
      <c r="B252" s="247" t="s">
        <v>238</v>
      </c>
      <c r="I252" s="127"/>
      <c r="J252" s="91"/>
      <c r="L252" s="92"/>
    </row>
    <row r="253" spans="1:12" s="80" customFormat="1" x14ac:dyDescent="0.2">
      <c r="A253" s="77"/>
      <c r="B253" s="247" t="s">
        <v>415</v>
      </c>
      <c r="C253" s="185"/>
      <c r="D253" s="157"/>
      <c r="I253" s="127"/>
      <c r="J253" s="91"/>
      <c r="L253" s="95"/>
    </row>
    <row r="254" spans="1:12" s="80" customFormat="1" x14ac:dyDescent="0.2">
      <c r="A254" s="77"/>
      <c r="B254" s="247" t="s">
        <v>238</v>
      </c>
      <c r="C254" s="107"/>
      <c r="D254" s="97"/>
      <c r="E254" s="148"/>
      <c r="F254" s="196"/>
      <c r="G254" s="95"/>
      <c r="H254" s="94"/>
      <c r="I254" s="127"/>
      <c r="J254" s="91"/>
      <c r="K254" s="94"/>
      <c r="L254" s="92"/>
    </row>
    <row r="255" spans="1:12" s="80" customFormat="1" ht="13.5" customHeight="1" x14ac:dyDescent="0.2">
      <c r="A255" s="77"/>
      <c r="B255" s="247" t="s">
        <v>415</v>
      </c>
      <c r="C255" s="107"/>
      <c r="D255" s="97"/>
      <c r="E255" s="148"/>
      <c r="F255" s="196"/>
      <c r="G255" s="95"/>
      <c r="I255" s="127"/>
      <c r="J255" s="91"/>
      <c r="L255" s="81"/>
    </row>
    <row r="256" spans="1:12" s="80" customFormat="1" x14ac:dyDescent="0.2">
      <c r="A256" s="77"/>
      <c r="B256" s="247" t="s">
        <v>416</v>
      </c>
      <c r="C256" s="107"/>
      <c r="D256" s="97"/>
      <c r="E256" s="148"/>
      <c r="F256" s="196"/>
      <c r="G256" s="95"/>
      <c r="I256" s="127"/>
      <c r="J256" s="91"/>
      <c r="L256" s="92"/>
    </row>
    <row r="257" spans="1:12" s="80" customFormat="1" x14ac:dyDescent="0.2">
      <c r="A257" s="77"/>
      <c r="B257" s="247" t="s">
        <v>398</v>
      </c>
      <c r="C257" s="186"/>
      <c r="D257" s="81"/>
      <c r="E257" s="184"/>
      <c r="F257" s="140"/>
      <c r="G257" s="95"/>
      <c r="I257" s="127"/>
      <c r="J257" s="91"/>
      <c r="L257" s="95"/>
    </row>
    <row r="258" spans="1:12" s="94" customFormat="1" ht="15" customHeight="1" x14ac:dyDescent="0.2">
      <c r="A258" s="77"/>
      <c r="B258" s="247" t="s">
        <v>417</v>
      </c>
      <c r="C258" s="183"/>
      <c r="D258" s="81"/>
      <c r="E258" s="140"/>
      <c r="F258" s="140"/>
      <c r="G258" s="95"/>
      <c r="I258" s="127"/>
      <c r="J258" s="91"/>
      <c r="L258" s="92"/>
    </row>
    <row r="259" spans="1:12" s="80" customFormat="1" ht="14.25" customHeight="1" x14ac:dyDescent="0.2">
      <c r="A259" s="105"/>
      <c r="B259" s="106"/>
      <c r="C259" s="183"/>
      <c r="D259" s="97"/>
      <c r="E259" s="148"/>
      <c r="F259" s="148"/>
      <c r="G259" s="95"/>
      <c r="I259" s="127"/>
      <c r="J259" s="91"/>
      <c r="L259" s="92"/>
    </row>
    <row r="260" spans="1:12" s="80" customFormat="1" ht="14.25" customHeight="1" x14ac:dyDescent="0.2">
      <c r="A260" s="105"/>
      <c r="B260" s="106"/>
      <c r="C260" s="183"/>
      <c r="D260" s="97"/>
      <c r="E260" s="148"/>
      <c r="F260" s="148"/>
      <c r="G260" s="95"/>
      <c r="I260" s="127"/>
      <c r="J260" s="91"/>
      <c r="L260" s="92"/>
    </row>
    <row r="261" spans="1:12" s="93" customFormat="1" ht="14.25" customHeight="1" x14ac:dyDescent="0.2">
      <c r="A261" s="107"/>
      <c r="B261" s="108"/>
      <c r="C261" s="107"/>
      <c r="D261" s="95"/>
      <c r="E261" s="149"/>
      <c r="F261" s="149"/>
      <c r="G261" s="100"/>
      <c r="I261" s="127"/>
      <c r="J261" s="91"/>
      <c r="K261" s="94"/>
      <c r="L261" s="92"/>
    </row>
    <row r="262" spans="1:12" x14ac:dyDescent="0.2">
      <c r="A262" s="190" t="s">
        <v>250</v>
      </c>
      <c r="B262" s="243" t="s">
        <v>252</v>
      </c>
      <c r="C262" s="244"/>
      <c r="D262" s="249"/>
      <c r="E262" s="184"/>
      <c r="F262" s="249"/>
      <c r="G262" s="95"/>
      <c r="I262" s="127"/>
      <c r="J262" s="91"/>
      <c r="K262" s="80"/>
      <c r="L262" s="81"/>
    </row>
    <row r="263" spans="1:12" x14ac:dyDescent="0.2">
      <c r="A263" s="107"/>
      <c r="B263" s="243" t="s">
        <v>418</v>
      </c>
      <c r="C263" s="244"/>
      <c r="D263" s="249"/>
      <c r="E263" s="184"/>
      <c r="F263" s="249"/>
      <c r="G263" s="95"/>
      <c r="I263" s="127"/>
      <c r="J263" s="91"/>
      <c r="K263" s="80"/>
      <c r="L263" s="95"/>
    </row>
    <row r="264" spans="1:12" x14ac:dyDescent="0.2">
      <c r="B264" s="243" t="s">
        <v>419</v>
      </c>
      <c r="C264" s="244"/>
      <c r="D264" s="249"/>
      <c r="E264" s="184"/>
      <c r="F264" s="249"/>
      <c r="G264" s="95"/>
      <c r="I264" s="127"/>
      <c r="J264" s="91"/>
      <c r="K264" s="80"/>
      <c r="L264" s="95"/>
    </row>
    <row r="265" spans="1:12" s="93" customFormat="1" x14ac:dyDescent="0.2">
      <c r="B265" s="243" t="s">
        <v>396</v>
      </c>
      <c r="C265" s="244"/>
      <c r="D265" s="249"/>
      <c r="E265" s="184"/>
      <c r="F265" s="249"/>
      <c r="G265" s="95"/>
      <c r="I265" s="127"/>
      <c r="J265" s="91"/>
      <c r="K265" s="94"/>
      <c r="L265" s="92"/>
    </row>
    <row r="266" spans="1:12" ht="11.25" customHeight="1" x14ac:dyDescent="0.2">
      <c r="B266" s="243"/>
      <c r="C266" s="244"/>
      <c r="D266" s="249"/>
      <c r="E266" s="184"/>
      <c r="F266" s="249"/>
      <c r="G266" s="95"/>
      <c r="I266" s="127"/>
      <c r="J266" s="91"/>
      <c r="K266" s="80"/>
      <c r="L266" s="92"/>
    </row>
    <row r="267" spans="1:12" x14ac:dyDescent="0.2">
      <c r="B267" s="243" t="s">
        <v>420</v>
      </c>
      <c r="C267" s="244"/>
      <c r="D267" s="249"/>
      <c r="E267" s="184"/>
      <c r="F267" s="249"/>
      <c r="G267" s="95"/>
      <c r="I267" s="127"/>
      <c r="J267" s="91"/>
      <c r="K267" s="80"/>
      <c r="L267" s="92"/>
    </row>
    <row r="268" spans="1:12" ht="13.5" customHeight="1" x14ac:dyDescent="0.2">
      <c r="B268" s="243" t="s">
        <v>247</v>
      </c>
      <c r="C268" s="244"/>
      <c r="D268" s="249"/>
      <c r="E268" s="184"/>
      <c r="F268" s="249"/>
      <c r="G268" s="95"/>
      <c r="I268" s="127"/>
      <c r="J268" s="91"/>
      <c r="K268" s="80"/>
      <c r="L268" s="92"/>
    </row>
    <row r="269" spans="1:12" x14ac:dyDescent="0.2">
      <c r="B269" s="243" t="s">
        <v>248</v>
      </c>
      <c r="C269" s="244"/>
      <c r="D269" s="249"/>
      <c r="E269" s="184"/>
      <c r="F269" s="249"/>
      <c r="G269" s="95"/>
      <c r="I269" s="127"/>
      <c r="J269" s="91"/>
      <c r="K269" s="80"/>
      <c r="L269" s="92"/>
    </row>
    <row r="270" spans="1:12" x14ac:dyDescent="0.2">
      <c r="B270" s="245" t="s">
        <v>249</v>
      </c>
      <c r="C270" s="244"/>
      <c r="D270" s="249"/>
      <c r="E270" s="184"/>
      <c r="F270" s="249"/>
      <c r="G270" s="95"/>
      <c r="I270" s="127"/>
      <c r="J270" s="91"/>
      <c r="K270" s="80"/>
      <c r="L270" s="92"/>
    </row>
    <row r="271" spans="1:12" x14ac:dyDescent="0.2">
      <c r="B271" s="245"/>
      <c r="C271" s="244"/>
      <c r="D271" s="249"/>
      <c r="E271" s="184"/>
      <c r="F271" s="249"/>
      <c r="G271" s="95"/>
      <c r="I271" s="127"/>
      <c r="J271" s="91"/>
      <c r="K271" s="80"/>
      <c r="L271" s="95"/>
    </row>
    <row r="272" spans="1:12" s="93" customFormat="1" x14ac:dyDescent="0.2">
      <c r="B272" s="287" t="s">
        <v>251</v>
      </c>
      <c r="C272" s="287"/>
      <c r="D272" s="287"/>
      <c r="E272" s="287"/>
      <c r="F272" s="287"/>
      <c r="G272" s="287"/>
      <c r="I272" s="127"/>
      <c r="J272" s="91"/>
      <c r="K272" s="94"/>
      <c r="L272" s="92"/>
    </row>
    <row r="273" spans="1:12" s="93" customFormat="1" hidden="1" x14ac:dyDescent="0.2">
      <c r="B273" s="287"/>
      <c r="C273" s="287"/>
      <c r="D273" s="287"/>
      <c r="E273" s="287"/>
      <c r="F273" s="287"/>
      <c r="G273" s="287"/>
      <c r="I273" s="127"/>
      <c r="J273" s="91"/>
      <c r="K273" s="94"/>
      <c r="L273" s="92"/>
    </row>
    <row r="274" spans="1:12" x14ac:dyDescent="0.2">
      <c r="B274" s="287" t="s">
        <v>253</v>
      </c>
      <c r="C274" s="287"/>
      <c r="D274" s="287"/>
      <c r="E274" s="287"/>
      <c r="F274" s="287"/>
      <c r="G274" s="287"/>
      <c r="I274" s="127"/>
      <c r="J274" s="91"/>
      <c r="K274" s="80"/>
      <c r="L274" s="92"/>
    </row>
    <row r="275" spans="1:12" hidden="1" x14ac:dyDescent="0.2">
      <c r="B275" s="287"/>
      <c r="C275" s="287"/>
      <c r="D275" s="287"/>
      <c r="E275" s="287"/>
      <c r="F275" s="287"/>
      <c r="G275" s="287"/>
      <c r="I275" s="127"/>
      <c r="J275" s="91"/>
      <c r="K275" s="80"/>
      <c r="L275" s="92"/>
    </row>
    <row r="276" spans="1:12" s="93" customFormat="1" x14ac:dyDescent="0.2">
      <c r="B276" s="287" t="s">
        <v>421</v>
      </c>
      <c r="C276" s="287"/>
      <c r="D276" s="287"/>
      <c r="E276" s="287"/>
      <c r="F276" s="287"/>
      <c r="G276" s="287"/>
      <c r="I276" s="127"/>
      <c r="J276" s="91"/>
      <c r="K276" s="94"/>
      <c r="L276" s="92"/>
    </row>
    <row r="277" spans="1:12" s="93" customFormat="1" x14ac:dyDescent="0.2">
      <c r="B277" s="287" t="s">
        <v>422</v>
      </c>
      <c r="C277" s="287"/>
      <c r="D277" s="287"/>
      <c r="E277" s="287"/>
      <c r="F277" s="287"/>
      <c r="G277" s="287"/>
      <c r="I277" s="127"/>
      <c r="J277" s="91"/>
      <c r="K277" s="94"/>
      <c r="L277" s="92"/>
    </row>
    <row r="278" spans="1:12" s="93" customFormat="1" x14ac:dyDescent="0.2">
      <c r="B278" s="247" t="s">
        <v>423</v>
      </c>
      <c r="C278" s="107"/>
      <c r="D278" s="95"/>
      <c r="E278" s="148"/>
      <c r="F278" s="195"/>
      <c r="G278" s="95"/>
      <c r="I278" s="127"/>
      <c r="J278" s="91"/>
      <c r="K278" s="94"/>
      <c r="L278" s="92"/>
    </row>
    <row r="279" spans="1:12" x14ac:dyDescent="0.2">
      <c r="B279" s="287" t="s">
        <v>399</v>
      </c>
      <c r="C279" s="287"/>
      <c r="D279" s="287"/>
      <c r="E279" s="287"/>
      <c r="F279" s="287"/>
      <c r="G279" s="287"/>
      <c r="I279" s="127"/>
      <c r="J279" s="91"/>
      <c r="K279" s="80"/>
      <c r="L279" s="95"/>
    </row>
    <row r="280" spans="1:12" s="93" customFormat="1" x14ac:dyDescent="0.2">
      <c r="B280" s="287" t="s">
        <v>424</v>
      </c>
      <c r="C280" s="287"/>
      <c r="D280" s="287"/>
      <c r="E280" s="287"/>
      <c r="F280" s="287"/>
      <c r="G280" s="287"/>
      <c r="I280" s="127"/>
      <c r="J280" s="91"/>
      <c r="K280" s="94"/>
      <c r="L280" s="92"/>
    </row>
    <row r="281" spans="1:12" s="93" customFormat="1" x14ac:dyDescent="0.2">
      <c r="B281" s="287"/>
      <c r="C281" s="287"/>
      <c r="D281" s="287"/>
      <c r="E281" s="287"/>
      <c r="F281" s="287"/>
      <c r="G281" s="287"/>
      <c r="I281" s="127"/>
      <c r="J281" s="91"/>
      <c r="K281" s="94"/>
      <c r="L281" s="92"/>
    </row>
    <row r="282" spans="1:12" x14ac:dyDescent="0.2">
      <c r="G282" s="100"/>
      <c r="I282" s="127"/>
      <c r="J282" s="91"/>
      <c r="K282" s="80"/>
      <c r="L282" s="81"/>
    </row>
    <row r="283" spans="1:12" x14ac:dyDescent="0.2">
      <c r="G283" s="100"/>
      <c r="I283" s="127"/>
      <c r="J283" s="91"/>
      <c r="K283" s="80"/>
      <c r="L283" s="95"/>
    </row>
    <row r="284" spans="1:12" s="93" customFormat="1" x14ac:dyDescent="0.2">
      <c r="A284" s="161" t="s">
        <v>258</v>
      </c>
      <c r="B284" s="243" t="s">
        <v>260</v>
      </c>
      <c r="C284" s="244"/>
      <c r="D284" s="249"/>
      <c r="E284" s="184"/>
      <c r="F284" s="249"/>
      <c r="G284" s="95"/>
      <c r="I284" s="127"/>
      <c r="J284" s="91"/>
      <c r="K284" s="94"/>
      <c r="L284" s="92"/>
    </row>
    <row r="285" spans="1:12" s="93" customFormat="1" x14ac:dyDescent="0.2">
      <c r="B285" s="243" t="s">
        <v>418</v>
      </c>
      <c r="C285" s="244"/>
      <c r="D285" s="249"/>
      <c r="E285" s="184"/>
      <c r="F285" s="249"/>
      <c r="G285" s="95"/>
      <c r="I285" s="127"/>
      <c r="J285" s="91"/>
      <c r="K285" s="94"/>
      <c r="L285" s="92"/>
    </row>
    <row r="286" spans="1:12" s="93" customFormat="1" x14ac:dyDescent="0.2">
      <c r="B286" s="243" t="s">
        <v>419</v>
      </c>
      <c r="C286" s="244"/>
      <c r="D286" s="249"/>
      <c r="E286" s="184"/>
      <c r="F286" s="249"/>
      <c r="G286" s="95"/>
      <c r="I286" s="127"/>
      <c r="J286" s="91"/>
      <c r="K286" s="94"/>
      <c r="L286" s="92"/>
    </row>
    <row r="287" spans="1:12" s="93" customFormat="1" x14ac:dyDescent="0.2">
      <c r="B287" s="243"/>
      <c r="C287" s="244"/>
      <c r="D287" s="249"/>
      <c r="E287" s="184"/>
      <c r="F287" s="249"/>
      <c r="G287" s="95"/>
      <c r="I287" s="127"/>
      <c r="J287" s="91"/>
      <c r="K287" s="94"/>
      <c r="L287" s="92"/>
    </row>
    <row r="288" spans="1:12" s="93" customFormat="1" x14ac:dyDescent="0.2">
      <c r="B288" s="243" t="s">
        <v>400</v>
      </c>
      <c r="C288" s="244"/>
      <c r="D288" s="249"/>
      <c r="E288" s="184"/>
      <c r="F288" s="249"/>
      <c r="G288" s="95"/>
      <c r="I288" s="127"/>
      <c r="J288" s="91"/>
      <c r="K288" s="94"/>
      <c r="L288" s="92"/>
    </row>
    <row r="289" spans="1:12" s="93" customFormat="1" x14ac:dyDescent="0.2">
      <c r="B289" s="243" t="s">
        <v>420</v>
      </c>
      <c r="C289" s="244"/>
      <c r="D289" s="249"/>
      <c r="E289" s="184"/>
      <c r="F289" s="249"/>
      <c r="G289" s="95"/>
      <c r="I289" s="127"/>
      <c r="J289" s="91"/>
      <c r="K289" s="94"/>
      <c r="L289" s="92"/>
    </row>
    <row r="290" spans="1:12" x14ac:dyDescent="0.2">
      <c r="B290" s="243" t="s">
        <v>247</v>
      </c>
      <c r="C290" s="244"/>
      <c r="D290" s="249"/>
      <c r="E290" s="184"/>
      <c r="F290" s="249"/>
      <c r="G290" s="95"/>
      <c r="I290" s="127"/>
      <c r="J290" s="91"/>
      <c r="K290" s="80"/>
      <c r="L290" s="81"/>
    </row>
    <row r="291" spans="1:12" x14ac:dyDescent="0.2">
      <c r="B291" s="243" t="s">
        <v>248</v>
      </c>
      <c r="C291" s="244"/>
      <c r="D291" s="249"/>
      <c r="E291" s="184"/>
      <c r="F291" s="249"/>
      <c r="G291" s="95"/>
      <c r="I291" s="127"/>
      <c r="J291" s="91"/>
      <c r="K291" s="80"/>
      <c r="L291" s="81"/>
    </row>
    <row r="292" spans="1:12" x14ac:dyDescent="0.2">
      <c r="B292" s="245" t="s">
        <v>265</v>
      </c>
      <c r="C292" s="244"/>
      <c r="D292" s="249"/>
      <c r="E292" s="184"/>
      <c r="F292" s="249"/>
      <c r="G292" s="95"/>
      <c r="I292" s="127"/>
      <c r="J292" s="91"/>
      <c r="K292" s="80"/>
      <c r="L292" s="81"/>
    </row>
    <row r="293" spans="1:12" x14ac:dyDescent="0.2">
      <c r="B293" s="245"/>
      <c r="C293" s="244"/>
      <c r="D293" s="249"/>
      <c r="E293" s="184"/>
      <c r="F293" s="249"/>
      <c r="G293" s="95"/>
      <c r="I293" s="127"/>
      <c r="J293" s="91"/>
      <c r="K293" s="80"/>
      <c r="L293" s="81"/>
    </row>
    <row r="294" spans="1:12" x14ac:dyDescent="0.2">
      <c r="B294" s="287" t="s">
        <v>262</v>
      </c>
      <c r="C294" s="287"/>
      <c r="D294" s="287"/>
      <c r="E294" s="287"/>
      <c r="F294" s="287"/>
      <c r="G294" s="287"/>
      <c r="I294" s="127"/>
      <c r="J294" s="91"/>
      <c r="K294" s="80"/>
      <c r="L294" s="81"/>
    </row>
    <row r="295" spans="1:12" hidden="1" x14ac:dyDescent="0.2">
      <c r="B295" s="287"/>
      <c r="C295" s="287"/>
      <c r="D295" s="287"/>
      <c r="E295" s="287"/>
      <c r="F295" s="287"/>
      <c r="G295" s="287"/>
      <c r="I295" s="127"/>
      <c r="J295" s="91"/>
      <c r="K295" s="80"/>
      <c r="L295" s="81"/>
    </row>
    <row r="296" spans="1:12" x14ac:dyDescent="0.2">
      <c r="B296" s="287" t="s">
        <v>261</v>
      </c>
      <c r="C296" s="287"/>
      <c r="D296" s="287"/>
      <c r="E296" s="287"/>
      <c r="F296" s="287"/>
      <c r="G296" s="287"/>
      <c r="I296" s="127"/>
      <c r="J296" s="91"/>
      <c r="K296" s="80"/>
      <c r="L296" s="81"/>
    </row>
    <row r="297" spans="1:12" hidden="1" x14ac:dyDescent="0.2">
      <c r="B297" s="287"/>
      <c r="C297" s="287"/>
      <c r="D297" s="287"/>
      <c r="E297" s="287"/>
      <c r="F297" s="287"/>
      <c r="G297" s="287"/>
      <c r="I297" s="127"/>
      <c r="J297" s="91"/>
      <c r="K297" s="80"/>
      <c r="L297" s="95"/>
    </row>
    <row r="298" spans="1:12" s="93" customFormat="1" x14ac:dyDescent="0.2">
      <c r="A298" s="77"/>
      <c r="B298" s="287" t="s">
        <v>427</v>
      </c>
      <c r="C298" s="287"/>
      <c r="D298" s="287"/>
      <c r="E298" s="287"/>
      <c r="F298" s="287"/>
      <c r="G298" s="287"/>
      <c r="I298" s="127"/>
      <c r="J298" s="91"/>
      <c r="K298" s="94"/>
      <c r="L298" s="92"/>
    </row>
    <row r="299" spans="1:12" x14ac:dyDescent="0.2">
      <c r="B299" s="287" t="s">
        <v>425</v>
      </c>
      <c r="C299" s="287"/>
      <c r="D299" s="287"/>
      <c r="E299" s="287"/>
      <c r="F299" s="287"/>
      <c r="G299" s="287"/>
      <c r="I299" s="127"/>
      <c r="J299" s="91"/>
      <c r="K299" s="80"/>
      <c r="L299" s="81"/>
    </row>
    <row r="300" spans="1:12" x14ac:dyDescent="0.2">
      <c r="B300" s="250" t="s">
        <v>401</v>
      </c>
      <c r="C300" s="250"/>
      <c r="D300" s="250"/>
      <c r="E300" s="250"/>
      <c r="F300" s="250"/>
      <c r="G300" s="250"/>
      <c r="I300" s="127"/>
      <c r="J300" s="91"/>
      <c r="K300" s="80"/>
      <c r="L300" s="81"/>
    </row>
    <row r="301" spans="1:12" x14ac:dyDescent="0.2">
      <c r="B301" s="247" t="s">
        <v>426</v>
      </c>
      <c r="C301" s="107"/>
      <c r="D301" s="95"/>
      <c r="E301" s="148"/>
      <c r="F301" s="195"/>
      <c r="G301" s="95"/>
      <c r="I301" s="127"/>
      <c r="J301" s="91"/>
      <c r="K301" s="80"/>
      <c r="L301" s="81"/>
    </row>
    <row r="302" spans="1:12" s="93" customFormat="1" hidden="1" x14ac:dyDescent="0.2">
      <c r="A302" s="77"/>
      <c r="B302" s="287"/>
      <c r="C302" s="287"/>
      <c r="D302" s="287"/>
      <c r="E302" s="287"/>
      <c r="F302" s="287"/>
      <c r="G302" s="287"/>
      <c r="I302" s="96"/>
      <c r="J302" s="94"/>
      <c r="K302" s="94"/>
      <c r="L302" s="97"/>
    </row>
    <row r="303" spans="1:12" x14ac:dyDescent="0.2">
      <c r="B303" s="287" t="s">
        <v>428</v>
      </c>
      <c r="C303" s="287"/>
      <c r="D303" s="287"/>
      <c r="E303" s="287"/>
      <c r="F303" s="287"/>
      <c r="G303" s="287"/>
      <c r="I303" s="91"/>
      <c r="J303" s="80"/>
      <c r="K303" s="80"/>
      <c r="L303" s="95"/>
    </row>
    <row r="304" spans="1:12" x14ac:dyDescent="0.2">
      <c r="G304" s="100"/>
      <c r="I304" s="91"/>
      <c r="J304" s="80"/>
      <c r="K304" s="80"/>
      <c r="L304" s="95"/>
    </row>
    <row r="305" spans="1:12" x14ac:dyDescent="0.2">
      <c r="G305" s="100"/>
      <c r="I305" s="80"/>
      <c r="J305" s="80"/>
      <c r="K305" s="80"/>
      <c r="L305" s="81"/>
    </row>
    <row r="306" spans="1:12" ht="7.5" customHeight="1" x14ac:dyDescent="0.2">
      <c r="G306" s="100"/>
      <c r="I306" s="80"/>
      <c r="J306" s="80"/>
      <c r="K306" s="80"/>
      <c r="L306" s="81"/>
    </row>
    <row r="307" spans="1:12" x14ac:dyDescent="0.2">
      <c r="A307" s="161" t="s">
        <v>263</v>
      </c>
      <c r="B307" s="243" t="s">
        <v>296</v>
      </c>
      <c r="G307" s="100"/>
      <c r="I307" s="80"/>
      <c r="J307" s="80"/>
      <c r="K307" s="80"/>
      <c r="L307" s="81"/>
    </row>
    <row r="308" spans="1:12" x14ac:dyDescent="0.2">
      <c r="A308" s="161"/>
      <c r="B308" s="243" t="s">
        <v>418</v>
      </c>
      <c r="G308" s="100"/>
      <c r="I308" s="80"/>
      <c r="J308" s="80"/>
      <c r="K308" s="80"/>
      <c r="L308" s="81"/>
    </row>
    <row r="309" spans="1:12" x14ac:dyDescent="0.2">
      <c r="B309" s="243" t="s">
        <v>410</v>
      </c>
      <c r="G309" s="100"/>
      <c r="I309" s="80"/>
      <c r="J309" s="80"/>
      <c r="K309" s="80"/>
      <c r="L309" s="81"/>
    </row>
    <row r="310" spans="1:12" x14ac:dyDescent="0.2">
      <c r="B310" s="243" t="s">
        <v>396</v>
      </c>
      <c r="G310" s="100"/>
      <c r="I310" s="80"/>
      <c r="J310" s="80"/>
      <c r="K310" s="80"/>
      <c r="L310" s="81"/>
    </row>
    <row r="311" spans="1:12" x14ac:dyDescent="0.2">
      <c r="B311" s="243" t="s">
        <v>411</v>
      </c>
      <c r="G311" s="100"/>
      <c r="I311" s="80"/>
      <c r="J311" s="80"/>
      <c r="K311" s="80"/>
      <c r="L311" s="81"/>
    </row>
    <row r="312" spans="1:12" x14ac:dyDescent="0.2">
      <c r="B312" s="243"/>
      <c r="G312" s="100"/>
      <c r="I312" s="80"/>
      <c r="J312" s="80"/>
      <c r="K312" s="80"/>
      <c r="L312" s="81"/>
    </row>
    <row r="313" spans="1:12" x14ac:dyDescent="0.2">
      <c r="B313" s="243" t="s">
        <v>248</v>
      </c>
      <c r="G313" s="100"/>
      <c r="I313" s="80"/>
      <c r="J313" s="80"/>
      <c r="K313" s="80"/>
      <c r="L313" s="81"/>
    </row>
    <row r="314" spans="1:12" x14ac:dyDescent="0.2">
      <c r="B314" s="243" t="s">
        <v>233</v>
      </c>
      <c r="G314" s="100"/>
      <c r="I314" s="80"/>
      <c r="J314" s="80"/>
      <c r="K314" s="80"/>
      <c r="L314" s="81"/>
    </row>
    <row r="315" spans="1:12" x14ac:dyDescent="0.2">
      <c r="B315" s="245" t="s">
        <v>264</v>
      </c>
      <c r="G315" s="100"/>
      <c r="I315" s="80"/>
      <c r="J315" s="80"/>
      <c r="K315" s="80"/>
      <c r="L315" s="81"/>
    </row>
    <row r="316" spans="1:12" x14ac:dyDescent="0.2">
      <c r="B316" s="245"/>
      <c r="G316" s="100"/>
      <c r="I316" s="80"/>
      <c r="J316" s="80"/>
      <c r="K316" s="80"/>
      <c r="L316" s="81"/>
    </row>
    <row r="317" spans="1:12" x14ac:dyDescent="0.2">
      <c r="B317" s="287" t="s">
        <v>297</v>
      </c>
      <c r="C317" s="287"/>
      <c r="D317" s="287"/>
      <c r="E317" s="287"/>
      <c r="F317" s="287"/>
      <c r="G317" s="287"/>
      <c r="I317" s="80"/>
      <c r="J317" s="80"/>
      <c r="K317" s="80"/>
      <c r="L317" s="81"/>
    </row>
    <row r="318" spans="1:12" x14ac:dyDescent="0.2">
      <c r="B318" s="287" t="s">
        <v>298</v>
      </c>
      <c r="C318" s="287"/>
      <c r="D318" s="287"/>
      <c r="E318" s="287"/>
      <c r="F318" s="287"/>
      <c r="G318" s="287"/>
      <c r="I318" s="80"/>
      <c r="J318" s="80"/>
      <c r="K318" s="80"/>
      <c r="L318" s="81"/>
    </row>
    <row r="319" spans="1:12" x14ac:dyDescent="0.2">
      <c r="B319" s="287" t="s">
        <v>429</v>
      </c>
      <c r="C319" s="287"/>
      <c r="D319" s="287"/>
      <c r="E319" s="287"/>
      <c r="F319" s="287"/>
      <c r="G319" s="287"/>
      <c r="I319" s="80"/>
      <c r="J319" s="80"/>
      <c r="K319" s="80"/>
      <c r="L319" s="81"/>
    </row>
    <row r="320" spans="1:12" x14ac:dyDescent="0.2">
      <c r="B320" s="287" t="s">
        <v>430</v>
      </c>
      <c r="C320" s="287"/>
      <c r="D320" s="287"/>
      <c r="E320" s="287"/>
      <c r="F320" s="287"/>
      <c r="G320" s="287"/>
      <c r="I320" s="80"/>
      <c r="J320" s="80"/>
      <c r="K320" s="80"/>
      <c r="L320" s="81"/>
    </row>
    <row r="321" spans="1:12" x14ac:dyDescent="0.2">
      <c r="B321" s="247" t="s">
        <v>431</v>
      </c>
      <c r="G321" s="100"/>
      <c r="I321" s="80"/>
      <c r="J321" s="80"/>
      <c r="K321" s="80"/>
      <c r="L321" s="81"/>
    </row>
    <row r="322" spans="1:12" ht="15" customHeight="1" x14ac:dyDescent="0.2">
      <c r="B322" s="247" t="s">
        <v>402</v>
      </c>
      <c r="G322" s="100"/>
      <c r="I322" s="80"/>
      <c r="J322" s="80"/>
      <c r="K322" s="80"/>
      <c r="L322" s="81"/>
    </row>
    <row r="323" spans="1:12" ht="25.5" x14ac:dyDescent="0.2">
      <c r="B323" s="247" t="s">
        <v>403</v>
      </c>
      <c r="G323" s="100"/>
      <c r="I323" s="80"/>
      <c r="J323" s="80"/>
      <c r="K323" s="80"/>
      <c r="L323" s="81"/>
    </row>
    <row r="324" spans="1:12" ht="25.5" x14ac:dyDescent="0.2">
      <c r="B324" s="247" t="s">
        <v>432</v>
      </c>
      <c r="G324" s="100"/>
      <c r="I324" s="80"/>
      <c r="J324" s="80"/>
      <c r="K324" s="80"/>
      <c r="L324" s="81"/>
    </row>
    <row r="325" spans="1:12" x14ac:dyDescent="0.2">
      <c r="G325" s="100"/>
      <c r="I325" s="80"/>
      <c r="J325" s="80"/>
      <c r="K325" s="80"/>
      <c r="L325" s="81"/>
    </row>
    <row r="326" spans="1:12" x14ac:dyDescent="0.2">
      <c r="G326" s="100"/>
      <c r="I326" s="80"/>
      <c r="J326" s="80"/>
      <c r="K326" s="80"/>
      <c r="L326" s="81"/>
    </row>
    <row r="327" spans="1:12" x14ac:dyDescent="0.2">
      <c r="A327" s="166" t="s">
        <v>371</v>
      </c>
      <c r="B327" s="263" t="s">
        <v>377</v>
      </c>
      <c r="G327" s="100"/>
      <c r="I327" s="80"/>
      <c r="J327" s="80"/>
      <c r="K327" s="80"/>
      <c r="L327" s="81"/>
    </row>
    <row r="328" spans="1:12" x14ac:dyDescent="0.2">
      <c r="B328" s="243" t="s">
        <v>433</v>
      </c>
      <c r="G328" s="100"/>
      <c r="I328" s="80"/>
      <c r="J328" s="80"/>
      <c r="K328" s="80"/>
      <c r="L328" s="81"/>
    </row>
    <row r="329" spans="1:12" x14ac:dyDescent="0.2">
      <c r="B329" s="243" t="s">
        <v>434</v>
      </c>
      <c r="G329" s="100"/>
      <c r="I329" s="80"/>
      <c r="J329" s="80"/>
      <c r="K329" s="80"/>
      <c r="L329" s="81"/>
    </row>
    <row r="330" spans="1:12" x14ac:dyDescent="0.2">
      <c r="B330" s="243" t="s">
        <v>411</v>
      </c>
      <c r="G330" s="100"/>
      <c r="I330" s="80"/>
      <c r="J330" s="80"/>
      <c r="K330" s="80"/>
      <c r="L330" s="81"/>
    </row>
    <row r="331" spans="1:12" x14ac:dyDescent="0.2">
      <c r="B331" s="243" t="s">
        <v>404</v>
      </c>
      <c r="G331" s="100"/>
      <c r="I331" s="80"/>
      <c r="J331" s="80"/>
      <c r="K331" s="80"/>
      <c r="L331" s="81"/>
    </row>
    <row r="332" spans="1:12" x14ac:dyDescent="0.2">
      <c r="B332" s="243" t="s">
        <v>435</v>
      </c>
      <c r="G332" s="100"/>
      <c r="I332" s="80"/>
      <c r="J332" s="80"/>
      <c r="K332" s="80"/>
      <c r="L332" s="81"/>
    </row>
    <row r="333" spans="1:12" x14ac:dyDescent="0.2">
      <c r="B333" s="245"/>
      <c r="I333" s="80"/>
      <c r="J333" s="80"/>
      <c r="K333" s="80"/>
      <c r="L333" s="81"/>
    </row>
    <row r="334" spans="1:12" x14ac:dyDescent="0.2">
      <c r="B334" s="247" t="s">
        <v>436</v>
      </c>
      <c r="I334" s="80"/>
      <c r="J334" s="80"/>
      <c r="K334" s="80"/>
      <c r="L334" s="81"/>
    </row>
    <row r="335" spans="1:12" x14ac:dyDescent="0.2">
      <c r="B335" s="247" t="s">
        <v>437</v>
      </c>
      <c r="I335" s="80"/>
      <c r="J335" s="80"/>
      <c r="K335" s="80"/>
      <c r="L335" s="81"/>
    </row>
    <row r="336" spans="1:12" x14ac:dyDescent="0.2">
      <c r="B336" s="247" t="s">
        <v>405</v>
      </c>
      <c r="I336" s="80"/>
      <c r="J336" s="80"/>
      <c r="K336" s="80"/>
      <c r="L336" s="81"/>
    </row>
    <row r="337" spans="2:12" x14ac:dyDescent="0.2">
      <c r="B337" s="247" t="s">
        <v>438</v>
      </c>
      <c r="I337" s="80"/>
      <c r="J337" s="80"/>
      <c r="K337" s="80"/>
      <c r="L337" s="81"/>
    </row>
    <row r="338" spans="2:12" x14ac:dyDescent="0.2">
      <c r="B338" s="247" t="s">
        <v>439</v>
      </c>
      <c r="I338" s="80"/>
      <c r="J338" s="80"/>
      <c r="K338" s="80"/>
      <c r="L338" s="81"/>
    </row>
    <row r="339" spans="2:12" ht="25.5" x14ac:dyDescent="0.2">
      <c r="B339" s="247" t="s">
        <v>440</v>
      </c>
      <c r="I339" s="80"/>
      <c r="J339" s="80"/>
      <c r="K339" s="80"/>
      <c r="L339" s="81"/>
    </row>
    <row r="340" spans="2:12" x14ac:dyDescent="0.2">
      <c r="B340" s="247"/>
      <c r="I340" s="80"/>
      <c r="J340" s="80"/>
      <c r="K340" s="80"/>
      <c r="L340" s="81"/>
    </row>
    <row r="341" spans="2:12" x14ac:dyDescent="0.2">
      <c r="I341" s="80"/>
      <c r="J341" s="80"/>
      <c r="K341" s="80"/>
      <c r="L341" s="81"/>
    </row>
    <row r="342" spans="2:12" x14ac:dyDescent="0.2">
      <c r="I342" s="80"/>
      <c r="J342" s="80"/>
      <c r="K342" s="80"/>
      <c r="L342" s="81"/>
    </row>
    <row r="343" spans="2:12" x14ac:dyDescent="0.2">
      <c r="I343" s="80"/>
      <c r="J343" s="80"/>
      <c r="K343" s="80"/>
      <c r="L343" s="81"/>
    </row>
    <row r="344" spans="2:12" x14ac:dyDescent="0.2">
      <c r="I344" s="80"/>
      <c r="J344" s="80"/>
      <c r="K344" s="80"/>
      <c r="L344" s="81"/>
    </row>
    <row r="345" spans="2:12" x14ac:dyDescent="0.2">
      <c r="I345" s="80"/>
      <c r="J345" s="80"/>
      <c r="K345" s="80"/>
      <c r="L345" s="81"/>
    </row>
    <row r="346" spans="2:12" x14ac:dyDescent="0.2">
      <c r="I346" s="80"/>
      <c r="J346" s="80"/>
      <c r="K346" s="80"/>
      <c r="L346" s="81"/>
    </row>
    <row r="347" spans="2:12" x14ac:dyDescent="0.2">
      <c r="I347" s="80"/>
      <c r="J347" s="80"/>
      <c r="K347" s="80"/>
      <c r="L347" s="81"/>
    </row>
    <row r="348" spans="2:12" x14ac:dyDescent="0.2">
      <c r="I348" s="80"/>
      <c r="J348" s="80"/>
      <c r="K348" s="80"/>
      <c r="L348" s="81"/>
    </row>
    <row r="349" spans="2:12" x14ac:dyDescent="0.2">
      <c r="I349" s="80"/>
      <c r="J349" s="80"/>
      <c r="K349" s="80"/>
      <c r="L349" s="81"/>
    </row>
    <row r="350" spans="2:12" x14ac:dyDescent="0.2">
      <c r="I350" s="80"/>
      <c r="J350" s="80"/>
      <c r="K350" s="80"/>
      <c r="L350" s="81"/>
    </row>
    <row r="351" spans="2:12" x14ac:dyDescent="0.2">
      <c r="I351" s="80"/>
      <c r="J351" s="80"/>
      <c r="K351" s="80"/>
      <c r="L351" s="81"/>
    </row>
    <row r="352" spans="2:12" x14ac:dyDescent="0.2">
      <c r="I352" s="80"/>
      <c r="J352" s="80"/>
      <c r="K352" s="80"/>
      <c r="L352" s="81"/>
    </row>
    <row r="353" spans="9:12" x14ac:dyDescent="0.2">
      <c r="I353" s="80"/>
      <c r="J353" s="80"/>
      <c r="K353" s="80"/>
      <c r="L353" s="81"/>
    </row>
    <row r="354" spans="9:12" x14ac:dyDescent="0.2">
      <c r="I354" s="80"/>
      <c r="J354" s="80"/>
      <c r="K354" s="80"/>
      <c r="L354" s="81"/>
    </row>
    <row r="355" spans="9:12" x14ac:dyDescent="0.2">
      <c r="I355" s="80"/>
      <c r="J355" s="80"/>
      <c r="K355" s="80"/>
      <c r="L355" s="81"/>
    </row>
    <row r="356" spans="9:12" x14ac:dyDescent="0.2">
      <c r="I356" s="80"/>
      <c r="J356" s="80"/>
      <c r="K356" s="80"/>
      <c r="L356" s="81"/>
    </row>
    <row r="357" spans="9:12" x14ac:dyDescent="0.2">
      <c r="I357" s="80"/>
      <c r="J357" s="80"/>
      <c r="K357" s="80"/>
      <c r="L357" s="81"/>
    </row>
    <row r="358" spans="9:12" x14ac:dyDescent="0.2">
      <c r="I358" s="80"/>
      <c r="J358" s="80"/>
      <c r="K358" s="80"/>
      <c r="L358" s="81"/>
    </row>
    <row r="359" spans="9:12" x14ac:dyDescent="0.2">
      <c r="I359" s="80"/>
      <c r="J359" s="80"/>
      <c r="K359" s="80"/>
      <c r="L359" s="81"/>
    </row>
    <row r="360" spans="9:12" x14ac:dyDescent="0.2">
      <c r="I360" s="80"/>
      <c r="J360" s="80"/>
      <c r="K360" s="80"/>
      <c r="L360" s="81"/>
    </row>
    <row r="361" spans="9:12" x14ac:dyDescent="0.2">
      <c r="I361" s="80"/>
      <c r="J361" s="80"/>
      <c r="K361" s="80"/>
      <c r="L361" s="81"/>
    </row>
    <row r="362" spans="9:12" x14ac:dyDescent="0.2">
      <c r="I362" s="80"/>
      <c r="J362" s="80"/>
      <c r="K362" s="80"/>
      <c r="L362" s="81"/>
    </row>
    <row r="363" spans="9:12" x14ac:dyDescent="0.2">
      <c r="I363" s="80"/>
      <c r="J363" s="80"/>
      <c r="K363" s="80"/>
      <c r="L363" s="81"/>
    </row>
    <row r="364" spans="9:12" x14ac:dyDescent="0.2">
      <c r="I364" s="80"/>
      <c r="J364" s="80"/>
      <c r="K364" s="80"/>
      <c r="L364" s="81"/>
    </row>
    <row r="365" spans="9:12" x14ac:dyDescent="0.2">
      <c r="I365" s="80"/>
      <c r="J365" s="80"/>
      <c r="K365" s="80"/>
      <c r="L365" s="81"/>
    </row>
    <row r="366" spans="9:12" x14ac:dyDescent="0.2">
      <c r="I366" s="80"/>
      <c r="J366" s="80"/>
      <c r="K366" s="80"/>
      <c r="L366" s="81"/>
    </row>
    <row r="367" spans="9:12" x14ac:dyDescent="0.2">
      <c r="I367" s="80"/>
      <c r="J367" s="80"/>
      <c r="K367" s="80"/>
      <c r="L367" s="81"/>
    </row>
    <row r="368" spans="9:12" x14ac:dyDescent="0.2">
      <c r="I368" s="80"/>
      <c r="J368" s="80"/>
      <c r="K368" s="80"/>
      <c r="L368" s="81"/>
    </row>
    <row r="369" spans="9:12" x14ac:dyDescent="0.2">
      <c r="I369" s="80"/>
      <c r="J369" s="80"/>
      <c r="K369" s="80"/>
      <c r="L369" s="81"/>
    </row>
    <row r="370" spans="9:12" x14ac:dyDescent="0.2">
      <c r="I370" s="80"/>
      <c r="J370" s="80"/>
      <c r="K370" s="80"/>
      <c r="L370" s="81"/>
    </row>
    <row r="371" spans="9:12" x14ac:dyDescent="0.2">
      <c r="I371" s="80"/>
      <c r="J371" s="80"/>
      <c r="K371" s="80"/>
      <c r="L371" s="81"/>
    </row>
    <row r="372" spans="9:12" x14ac:dyDescent="0.2">
      <c r="I372" s="80"/>
      <c r="J372" s="80"/>
      <c r="K372" s="80"/>
      <c r="L372" s="81"/>
    </row>
    <row r="373" spans="9:12" x14ac:dyDescent="0.2">
      <c r="I373" s="80"/>
      <c r="J373" s="80"/>
      <c r="K373" s="80"/>
      <c r="L373" s="81"/>
    </row>
    <row r="374" spans="9:12" x14ac:dyDescent="0.2">
      <c r="I374" s="80"/>
      <c r="J374" s="80"/>
      <c r="K374" s="80"/>
      <c r="L374" s="81"/>
    </row>
    <row r="375" spans="9:12" x14ac:dyDescent="0.2">
      <c r="I375" s="80"/>
      <c r="J375" s="80"/>
      <c r="K375" s="80"/>
      <c r="L375" s="81"/>
    </row>
    <row r="376" spans="9:12" x14ac:dyDescent="0.2">
      <c r="I376" s="80"/>
      <c r="J376" s="80"/>
      <c r="K376" s="80"/>
      <c r="L376" s="81"/>
    </row>
    <row r="377" spans="9:12" x14ac:dyDescent="0.2">
      <c r="I377" s="80"/>
      <c r="J377" s="80"/>
      <c r="K377" s="80"/>
      <c r="L377" s="81"/>
    </row>
    <row r="378" spans="9:12" x14ac:dyDescent="0.2">
      <c r="I378" s="80"/>
      <c r="J378" s="80"/>
      <c r="K378" s="80"/>
      <c r="L378" s="81"/>
    </row>
    <row r="379" spans="9:12" x14ac:dyDescent="0.2">
      <c r="I379" s="80"/>
      <c r="J379" s="80"/>
      <c r="K379" s="80"/>
      <c r="L379" s="81"/>
    </row>
    <row r="380" spans="9:12" x14ac:dyDescent="0.2">
      <c r="I380" s="80"/>
      <c r="J380" s="80"/>
      <c r="K380" s="80"/>
      <c r="L380" s="81"/>
    </row>
    <row r="381" spans="9:12" x14ac:dyDescent="0.2">
      <c r="I381" s="80"/>
      <c r="J381" s="80"/>
      <c r="K381" s="80"/>
      <c r="L381" s="81"/>
    </row>
    <row r="382" spans="9:12" x14ac:dyDescent="0.2">
      <c r="I382" s="80"/>
      <c r="J382" s="80"/>
      <c r="K382" s="80"/>
      <c r="L382" s="81"/>
    </row>
    <row r="383" spans="9:12" x14ac:dyDescent="0.2">
      <c r="I383" s="80"/>
      <c r="J383" s="80"/>
      <c r="K383" s="80"/>
      <c r="L383" s="81"/>
    </row>
    <row r="384" spans="9:12" x14ac:dyDescent="0.2">
      <c r="I384" s="80"/>
      <c r="J384" s="80"/>
      <c r="K384" s="80"/>
      <c r="L384" s="81"/>
    </row>
    <row r="385" spans="9:12" x14ac:dyDescent="0.2">
      <c r="I385" s="80"/>
      <c r="J385" s="80"/>
      <c r="K385" s="80"/>
      <c r="L385" s="81"/>
    </row>
    <row r="386" spans="9:12" x14ac:dyDescent="0.2">
      <c r="I386" s="80"/>
      <c r="J386" s="80"/>
      <c r="K386" s="80"/>
      <c r="L386" s="81"/>
    </row>
    <row r="387" spans="9:12" x14ac:dyDescent="0.2">
      <c r="I387" s="80"/>
      <c r="J387" s="80"/>
      <c r="K387" s="80"/>
      <c r="L387" s="81"/>
    </row>
    <row r="388" spans="9:12" x14ac:dyDescent="0.2">
      <c r="I388" s="80"/>
      <c r="J388" s="80"/>
      <c r="K388" s="80"/>
      <c r="L388" s="81"/>
    </row>
    <row r="389" spans="9:12" x14ac:dyDescent="0.2">
      <c r="I389" s="80"/>
      <c r="J389" s="80"/>
      <c r="K389" s="80"/>
      <c r="L389" s="81"/>
    </row>
    <row r="390" spans="9:12" x14ac:dyDescent="0.2">
      <c r="I390" s="80"/>
      <c r="J390" s="80"/>
      <c r="K390" s="80"/>
      <c r="L390" s="81"/>
    </row>
    <row r="391" spans="9:12" x14ac:dyDescent="0.2">
      <c r="I391" s="80"/>
      <c r="J391" s="80"/>
      <c r="K391" s="80"/>
      <c r="L391" s="81"/>
    </row>
    <row r="392" spans="9:12" x14ac:dyDescent="0.2">
      <c r="I392" s="80"/>
      <c r="J392" s="80"/>
      <c r="K392" s="80"/>
      <c r="L392" s="81"/>
    </row>
    <row r="393" spans="9:12" x14ac:dyDescent="0.2">
      <c r="I393" s="80"/>
      <c r="J393" s="80"/>
      <c r="K393" s="80"/>
      <c r="L393" s="81"/>
    </row>
    <row r="394" spans="9:12" x14ac:dyDescent="0.2">
      <c r="I394" s="80"/>
      <c r="J394" s="80"/>
      <c r="K394" s="80"/>
      <c r="L394" s="81"/>
    </row>
    <row r="395" spans="9:12" x14ac:dyDescent="0.2">
      <c r="I395" s="80"/>
      <c r="J395" s="80"/>
      <c r="K395" s="80"/>
      <c r="L395" s="81"/>
    </row>
    <row r="396" spans="9:12" x14ac:dyDescent="0.2">
      <c r="I396" s="80"/>
      <c r="J396" s="80"/>
      <c r="K396" s="80"/>
      <c r="L396" s="81"/>
    </row>
    <row r="397" spans="9:12" x14ac:dyDescent="0.2">
      <c r="I397" s="80"/>
      <c r="J397" s="80"/>
      <c r="K397" s="80"/>
      <c r="L397" s="81"/>
    </row>
    <row r="398" spans="9:12" x14ac:dyDescent="0.2">
      <c r="I398" s="80"/>
      <c r="J398" s="80"/>
      <c r="K398" s="80"/>
      <c r="L398" s="81"/>
    </row>
    <row r="399" spans="9:12" x14ac:dyDescent="0.2">
      <c r="I399" s="80"/>
      <c r="J399" s="80"/>
      <c r="K399" s="80"/>
      <c r="L399" s="81"/>
    </row>
    <row r="400" spans="9:12" x14ac:dyDescent="0.2">
      <c r="I400" s="80"/>
      <c r="J400" s="80"/>
      <c r="K400" s="80"/>
      <c r="L400" s="81"/>
    </row>
    <row r="401" spans="9:12" x14ac:dyDescent="0.2">
      <c r="I401" s="80"/>
      <c r="J401" s="80"/>
      <c r="K401" s="80"/>
      <c r="L401" s="81"/>
    </row>
    <row r="402" spans="9:12" x14ac:dyDescent="0.2">
      <c r="I402" s="80"/>
      <c r="J402" s="80"/>
      <c r="K402" s="80"/>
      <c r="L402" s="81"/>
    </row>
    <row r="403" spans="9:12" x14ac:dyDescent="0.2">
      <c r="I403" s="80"/>
      <c r="J403" s="80"/>
      <c r="K403" s="80"/>
      <c r="L403" s="81"/>
    </row>
    <row r="404" spans="9:12" x14ac:dyDescent="0.2">
      <c r="I404" s="80"/>
      <c r="J404" s="80"/>
      <c r="K404" s="80"/>
      <c r="L404" s="81"/>
    </row>
    <row r="405" spans="9:12" x14ac:dyDescent="0.2">
      <c r="I405" s="80"/>
      <c r="J405" s="80"/>
      <c r="K405" s="80"/>
      <c r="L405" s="81"/>
    </row>
    <row r="406" spans="9:12" x14ac:dyDescent="0.2">
      <c r="I406" s="80"/>
      <c r="J406" s="80"/>
      <c r="K406" s="80"/>
      <c r="L406" s="81"/>
    </row>
    <row r="407" spans="9:12" x14ac:dyDescent="0.2">
      <c r="I407" s="80"/>
      <c r="J407" s="80"/>
      <c r="K407" s="80"/>
      <c r="L407" s="81"/>
    </row>
    <row r="408" spans="9:12" x14ac:dyDescent="0.2">
      <c r="I408" s="80"/>
      <c r="J408" s="80"/>
      <c r="K408" s="80"/>
      <c r="L408" s="81"/>
    </row>
    <row r="409" spans="9:12" x14ac:dyDescent="0.2">
      <c r="I409" s="80"/>
      <c r="J409" s="80"/>
      <c r="K409" s="80"/>
      <c r="L409" s="81"/>
    </row>
    <row r="410" spans="9:12" x14ac:dyDescent="0.2">
      <c r="I410" s="80"/>
      <c r="J410" s="80"/>
      <c r="K410" s="80"/>
      <c r="L410" s="81"/>
    </row>
    <row r="411" spans="9:12" x14ac:dyDescent="0.2">
      <c r="I411" s="80"/>
      <c r="J411" s="80"/>
      <c r="K411" s="80"/>
      <c r="L411" s="81"/>
    </row>
    <row r="412" spans="9:12" x14ac:dyDescent="0.2">
      <c r="I412" s="80"/>
      <c r="J412" s="80"/>
      <c r="K412" s="80"/>
      <c r="L412" s="81"/>
    </row>
    <row r="413" spans="9:12" x14ac:dyDescent="0.2">
      <c r="I413" s="80"/>
      <c r="J413" s="80"/>
      <c r="K413" s="80"/>
      <c r="L413" s="81"/>
    </row>
    <row r="414" spans="9:12" x14ac:dyDescent="0.2">
      <c r="I414" s="80"/>
      <c r="J414" s="80"/>
      <c r="K414" s="80"/>
      <c r="L414" s="81"/>
    </row>
    <row r="415" spans="9:12" x14ac:dyDescent="0.2">
      <c r="I415" s="80"/>
      <c r="J415" s="80"/>
      <c r="K415" s="80"/>
      <c r="L415" s="81"/>
    </row>
    <row r="416" spans="9:12" x14ac:dyDescent="0.2">
      <c r="I416" s="80"/>
      <c r="J416" s="80"/>
      <c r="K416" s="80"/>
      <c r="L416" s="81"/>
    </row>
    <row r="417" spans="9:12" x14ac:dyDescent="0.2">
      <c r="I417" s="80"/>
      <c r="J417" s="80"/>
      <c r="K417" s="80"/>
      <c r="L417" s="81"/>
    </row>
    <row r="418" spans="9:12" x14ac:dyDescent="0.2">
      <c r="I418" s="80"/>
      <c r="J418" s="80"/>
      <c r="K418" s="80"/>
      <c r="L418" s="81"/>
    </row>
    <row r="419" spans="9:12" x14ac:dyDescent="0.2">
      <c r="I419" s="80"/>
      <c r="J419" s="80"/>
      <c r="K419" s="80"/>
      <c r="L419" s="81"/>
    </row>
    <row r="420" spans="9:12" x14ac:dyDescent="0.2">
      <c r="I420" s="80"/>
      <c r="J420" s="80"/>
      <c r="K420" s="80"/>
      <c r="L420" s="81"/>
    </row>
    <row r="421" spans="9:12" x14ac:dyDescent="0.2">
      <c r="I421" s="80"/>
      <c r="J421" s="80"/>
      <c r="K421" s="80"/>
      <c r="L421" s="81"/>
    </row>
    <row r="422" spans="9:12" x14ac:dyDescent="0.2">
      <c r="I422" s="80"/>
      <c r="J422" s="80"/>
      <c r="K422" s="80"/>
      <c r="L422" s="81"/>
    </row>
    <row r="423" spans="9:12" x14ac:dyDescent="0.2">
      <c r="I423" s="80"/>
      <c r="J423" s="80"/>
      <c r="K423" s="80"/>
      <c r="L423" s="81"/>
    </row>
    <row r="424" spans="9:12" x14ac:dyDescent="0.2">
      <c r="I424" s="80"/>
      <c r="J424" s="80"/>
      <c r="K424" s="80"/>
      <c r="L424" s="81"/>
    </row>
    <row r="425" spans="9:12" x14ac:dyDescent="0.2">
      <c r="I425" s="80"/>
      <c r="J425" s="80"/>
      <c r="K425" s="80"/>
      <c r="L425" s="81"/>
    </row>
    <row r="426" spans="9:12" x14ac:dyDescent="0.2">
      <c r="I426" s="80"/>
      <c r="J426" s="80"/>
      <c r="K426" s="80"/>
      <c r="L426" s="81"/>
    </row>
    <row r="427" spans="9:12" x14ac:dyDescent="0.2">
      <c r="I427" s="80"/>
      <c r="J427" s="80"/>
      <c r="K427" s="80"/>
      <c r="L427" s="81"/>
    </row>
    <row r="428" spans="9:12" x14ac:dyDescent="0.2">
      <c r="I428" s="80"/>
      <c r="J428" s="80"/>
      <c r="K428" s="80"/>
      <c r="L428" s="81"/>
    </row>
    <row r="429" spans="9:12" x14ac:dyDescent="0.2">
      <c r="I429" s="80"/>
      <c r="J429" s="80"/>
      <c r="K429" s="80"/>
      <c r="L429" s="81"/>
    </row>
    <row r="430" spans="9:12" x14ac:dyDescent="0.2">
      <c r="I430" s="80"/>
      <c r="J430" s="80"/>
      <c r="K430" s="80"/>
      <c r="L430" s="81"/>
    </row>
    <row r="431" spans="9:12" x14ac:dyDescent="0.2">
      <c r="I431" s="80"/>
      <c r="J431" s="80"/>
      <c r="K431" s="80"/>
      <c r="L431" s="81"/>
    </row>
    <row r="432" spans="9:12" x14ac:dyDescent="0.2">
      <c r="I432" s="80"/>
      <c r="J432" s="80"/>
      <c r="K432" s="80"/>
      <c r="L432" s="81"/>
    </row>
    <row r="433" spans="9:12" x14ac:dyDescent="0.2">
      <c r="I433" s="80"/>
      <c r="J433" s="80"/>
      <c r="K433" s="80"/>
      <c r="L433" s="81"/>
    </row>
    <row r="434" spans="9:12" x14ac:dyDescent="0.2">
      <c r="I434" s="80"/>
      <c r="J434" s="80"/>
      <c r="K434" s="80"/>
      <c r="L434" s="81"/>
    </row>
    <row r="435" spans="9:12" x14ac:dyDescent="0.2">
      <c r="I435" s="80"/>
      <c r="J435" s="80"/>
      <c r="K435" s="80"/>
      <c r="L435" s="81"/>
    </row>
    <row r="436" spans="9:12" x14ac:dyDescent="0.2">
      <c r="I436" s="80"/>
      <c r="J436" s="80"/>
      <c r="K436" s="80"/>
      <c r="L436" s="81"/>
    </row>
    <row r="437" spans="9:12" x14ac:dyDescent="0.2">
      <c r="I437" s="80"/>
      <c r="J437" s="80"/>
      <c r="K437" s="80"/>
      <c r="L437" s="81"/>
    </row>
  </sheetData>
  <mergeCells count="31">
    <mergeCell ref="A3:B3"/>
    <mergeCell ref="E7:G7"/>
    <mergeCell ref="L8:L9"/>
    <mergeCell ref="A8:A9"/>
    <mergeCell ref="B8:B9"/>
    <mergeCell ref="C8:C9"/>
    <mergeCell ref="D8:D9"/>
    <mergeCell ref="A4:H4"/>
    <mergeCell ref="A203:G203"/>
    <mergeCell ref="B294:G294"/>
    <mergeCell ref="B295:G295"/>
    <mergeCell ref="B296:G296"/>
    <mergeCell ref="B297:G297"/>
    <mergeCell ref="B277:G277"/>
    <mergeCell ref="B279:G279"/>
    <mergeCell ref="B280:G280"/>
    <mergeCell ref="B281:G281"/>
    <mergeCell ref="B226:C226"/>
    <mergeCell ref="B272:G272"/>
    <mergeCell ref="B273:G273"/>
    <mergeCell ref="B274:G274"/>
    <mergeCell ref="B275:G275"/>
    <mergeCell ref="B276:G276"/>
    <mergeCell ref="B318:G318"/>
    <mergeCell ref="B319:G319"/>
    <mergeCell ref="B320:G320"/>
    <mergeCell ref="B298:G298"/>
    <mergeCell ref="B299:G299"/>
    <mergeCell ref="B302:G302"/>
    <mergeCell ref="B303:G303"/>
    <mergeCell ref="B317:G317"/>
  </mergeCells>
  <phoneticPr fontId="0" type="noConversion"/>
  <pageMargins left="0.62992125984251968" right="0.59055118110236227" top="2.3228346456692917" bottom="0.59055118110236227" header="0.31496062992125984" footer="0.31496062992125984"/>
  <pageSetup paperSize="9" scale="56" orientation="portrait" verticalDpi="300" r:id="rId1"/>
  <headerFooter alignWithMargins="0">
    <oddFooter>Página &amp;P de &amp;N</oddFooter>
  </headerFooter>
  <rowBreaks count="3" manualBreakCount="3">
    <brk id="79" max="7" man="1"/>
    <brk id="201" max="7" man="1"/>
    <brk id="30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52"/>
  <sheetViews>
    <sheetView showGridLines="0" view="pageBreakPreview" topLeftCell="A13" zoomScale="115" zoomScaleNormal="100" zoomScaleSheetLayoutView="115" workbookViewId="0">
      <selection activeCell="B29" sqref="B29"/>
    </sheetView>
  </sheetViews>
  <sheetFormatPr defaultRowHeight="12.75" x14ac:dyDescent="0.2"/>
  <cols>
    <col min="1" max="1" width="6.5703125" style="9" customWidth="1"/>
    <col min="2" max="2" width="38.7109375" style="7" customWidth="1"/>
    <col min="3" max="3" width="14.7109375" style="7" customWidth="1"/>
    <col min="4" max="4" width="7.28515625" style="7" bestFit="1" customWidth="1"/>
    <col min="5" max="5" width="9.85546875" style="7" bestFit="1" customWidth="1"/>
    <col min="6" max="6" width="6.140625" style="33" customWidth="1"/>
    <col min="7" max="7" width="10" style="7" bestFit="1" customWidth="1"/>
    <col min="8" max="8" width="5.28515625" style="33" bestFit="1" customWidth="1"/>
    <col min="9" max="9" width="10" style="7" bestFit="1" customWidth="1"/>
    <col min="10" max="10" width="5.5703125" style="33" customWidth="1"/>
    <col min="11" max="11" width="9.85546875" style="7" bestFit="1" customWidth="1"/>
    <col min="12" max="12" width="6.28515625" style="7" customWidth="1"/>
    <col min="13" max="16384" width="9.140625" style="7"/>
  </cols>
  <sheetData>
    <row r="1" spans="1:12" ht="15.75" customHeight="1" x14ac:dyDescent="0.3">
      <c r="A1" s="18" t="str">
        <f>ORCA!A1</f>
        <v>PREFEITURA MUNICIPAL DE TIMBÓ</v>
      </c>
      <c r="B1" s="17"/>
      <c r="C1" s="8"/>
      <c r="D1" s="1"/>
      <c r="E1" s="1"/>
      <c r="F1" s="34"/>
      <c r="I1" s="1"/>
      <c r="J1" s="34"/>
    </row>
    <row r="2" spans="1:12" x14ac:dyDescent="0.2">
      <c r="A2" s="264" t="str">
        <f>ORCA!A2</f>
        <v>SECRETARIA DE PLANEJAMENTO, TRÂNSITO, MEIO AMBIENTE, INDÚSTRIA, COMÉRCIO E SERVIÇOS</v>
      </c>
      <c r="B2" s="264"/>
      <c r="C2" s="264"/>
      <c r="D2" s="264"/>
      <c r="E2" s="264"/>
      <c r="F2" s="264"/>
      <c r="G2" s="264"/>
      <c r="H2" s="34"/>
      <c r="I2" s="1"/>
      <c r="J2" s="34"/>
    </row>
    <row r="3" spans="1:12" x14ac:dyDescent="0.2">
      <c r="A3" s="300" t="s">
        <v>21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2"/>
    </row>
    <row r="4" spans="1:12" x14ac:dyDescent="0.2">
      <c r="A4" s="39" t="str">
        <f>ORCA!A5</f>
        <v xml:space="preserve">PROJETO : </v>
      </c>
      <c r="B4" s="49" t="str">
        <f>ORCA!B5</f>
        <v>AMPLIAÇÃO UPE GIRASSOL</v>
      </c>
      <c r="C4" s="41"/>
      <c r="D4" s="41"/>
      <c r="E4" s="40"/>
      <c r="F4" s="58"/>
      <c r="G4" s="42"/>
      <c r="H4" s="57"/>
      <c r="I4" s="64" t="s">
        <v>366</v>
      </c>
      <c r="J4" s="54"/>
      <c r="K4" s="43"/>
      <c r="L4" s="44"/>
    </row>
    <row r="5" spans="1:12" x14ac:dyDescent="0.2">
      <c r="A5" s="67"/>
      <c r="B5" s="68"/>
      <c r="C5" s="46"/>
      <c r="D5" s="69"/>
      <c r="E5" s="70"/>
      <c r="F5" s="47"/>
      <c r="G5" s="71"/>
      <c r="H5" s="72"/>
      <c r="I5" s="46"/>
      <c r="J5" s="73"/>
      <c r="K5" s="45"/>
      <c r="L5" s="48"/>
    </row>
    <row r="6" spans="1:12" s="12" customFormat="1" x14ac:dyDescent="0.2">
      <c r="A6" s="305" t="s">
        <v>0</v>
      </c>
      <c r="B6" s="307" t="s">
        <v>22</v>
      </c>
      <c r="C6" s="65" t="s">
        <v>31</v>
      </c>
      <c r="D6" s="309" t="s">
        <v>27</v>
      </c>
      <c r="E6" s="303" t="s">
        <v>39</v>
      </c>
      <c r="F6" s="304"/>
      <c r="G6" s="303" t="s">
        <v>40</v>
      </c>
      <c r="H6" s="304"/>
      <c r="I6" s="303" t="s">
        <v>41</v>
      </c>
      <c r="J6" s="304"/>
      <c r="K6" s="66" t="s">
        <v>31</v>
      </c>
      <c r="L6" s="65" t="s">
        <v>27</v>
      </c>
    </row>
    <row r="7" spans="1:12" s="12" customFormat="1" ht="13.5" thickBot="1" x14ac:dyDescent="0.25">
      <c r="A7" s="306"/>
      <c r="B7" s="308"/>
      <c r="C7" s="13" t="s">
        <v>11</v>
      </c>
      <c r="D7" s="310"/>
      <c r="E7" s="19" t="s">
        <v>23</v>
      </c>
      <c r="F7" s="28" t="s">
        <v>27</v>
      </c>
      <c r="G7" s="19" t="s">
        <v>24</v>
      </c>
      <c r="H7" s="28" t="s">
        <v>27</v>
      </c>
      <c r="I7" s="19" t="s">
        <v>25</v>
      </c>
      <c r="J7" s="28" t="s">
        <v>27</v>
      </c>
      <c r="K7" s="20" t="s">
        <v>11</v>
      </c>
      <c r="L7" s="13" t="s">
        <v>11</v>
      </c>
    </row>
    <row r="8" spans="1:12" ht="13.5" thickTop="1" x14ac:dyDescent="0.2">
      <c r="A8" s="59">
        <v>1</v>
      </c>
      <c r="B8" s="10" t="str">
        <f>ORCA!B10</f>
        <v>MOVIMENTAÇÃO DE TERRA</v>
      </c>
      <c r="C8" s="10">
        <f>ORCA!G23</f>
        <v>6559.6699999999992</v>
      </c>
      <c r="D8" s="11">
        <f t="shared" ref="D8:D22" si="0">SUM(C8*100%/$C$23)</f>
        <v>4.7871316012921515E-2</v>
      </c>
      <c r="E8" s="23">
        <f>SUM($C$8*F8)</f>
        <v>6559.6699999999992</v>
      </c>
      <c r="F8" s="29">
        <v>1</v>
      </c>
      <c r="G8" s="23">
        <f>SUM($C$8*H8)</f>
        <v>0</v>
      </c>
      <c r="H8" s="29"/>
      <c r="I8" s="23">
        <f>SUM($C$8*J8)</f>
        <v>0</v>
      </c>
      <c r="J8" s="29"/>
      <c r="K8" s="36">
        <f t="shared" ref="K8:K22" si="1">E8+G8+I8</f>
        <v>6559.6699999999992</v>
      </c>
      <c r="L8" s="37">
        <f t="shared" ref="L8:L22" si="2">F8+H8+J8</f>
        <v>1</v>
      </c>
    </row>
    <row r="9" spans="1:12" x14ac:dyDescent="0.2">
      <c r="A9" s="59">
        <v>2</v>
      </c>
      <c r="B9" s="10" t="str">
        <f>ORCA!B24</f>
        <v>INFRAESTRUTURA</v>
      </c>
      <c r="C9" s="10">
        <f>ORCA!G32</f>
        <v>8177.4800000000005</v>
      </c>
      <c r="D9" s="11">
        <f t="shared" si="0"/>
        <v>5.9677808375931334E-2</v>
      </c>
      <c r="E9" s="23">
        <f>SUM($C$9*F9)</f>
        <v>8177.4800000000005</v>
      </c>
      <c r="F9" s="29">
        <v>1</v>
      </c>
      <c r="G9" s="23">
        <f>SUM($C$9*H9)</f>
        <v>0</v>
      </c>
      <c r="H9" s="29"/>
      <c r="I9" s="23">
        <f>SUM($C$9*J9)</f>
        <v>0</v>
      </c>
      <c r="J9" s="29"/>
      <c r="K9" s="36">
        <f t="shared" si="1"/>
        <v>8177.4800000000005</v>
      </c>
      <c r="L9" s="37">
        <f t="shared" si="2"/>
        <v>1</v>
      </c>
    </row>
    <row r="10" spans="1:12" x14ac:dyDescent="0.2">
      <c r="A10" s="59">
        <v>3</v>
      </c>
      <c r="B10" s="10" t="str">
        <f>ORCA!B33</f>
        <v>SUPRA-ESTRUTURA</v>
      </c>
      <c r="C10" s="10">
        <f>ORCA!G49</f>
        <v>23760.11</v>
      </c>
      <c r="D10" s="11">
        <f t="shared" si="0"/>
        <v>0.17339709685270399</v>
      </c>
      <c r="E10" s="23">
        <f>SUM($C$10*F10)</f>
        <v>2376.011</v>
      </c>
      <c r="F10" s="29">
        <v>0.1</v>
      </c>
      <c r="G10" s="23">
        <f>SUM($C$10*H10)</f>
        <v>21384.099000000002</v>
      </c>
      <c r="H10" s="29">
        <v>0.9</v>
      </c>
      <c r="I10" s="23">
        <f>SUM($C$10*J10)</f>
        <v>0</v>
      </c>
      <c r="J10" s="29"/>
      <c r="K10" s="36">
        <f t="shared" si="1"/>
        <v>23760.11</v>
      </c>
      <c r="L10" s="37">
        <f t="shared" si="2"/>
        <v>1</v>
      </c>
    </row>
    <row r="11" spans="1:12" x14ac:dyDescent="0.2">
      <c r="A11" s="59">
        <v>4</v>
      </c>
      <c r="B11" s="10" t="str">
        <f>ORCA!B50</f>
        <v>IMPERMEABILIZAÇÕES</v>
      </c>
      <c r="C11" s="10">
        <f>ORCA!G53</f>
        <v>3178.81</v>
      </c>
      <c r="D11" s="11">
        <f t="shared" si="0"/>
        <v>2.3198395354497262E-2</v>
      </c>
      <c r="E11" s="23">
        <f>SUM($C$11*F11)</f>
        <v>3178.81</v>
      </c>
      <c r="F11" s="29">
        <v>1</v>
      </c>
      <c r="G11" s="23">
        <f>SUM($C$11*H11)</f>
        <v>0</v>
      </c>
      <c r="H11" s="29"/>
      <c r="I11" s="23">
        <f>SUM($C$11*J11)</f>
        <v>0</v>
      </c>
      <c r="J11" s="29"/>
      <c r="K11" s="36">
        <f t="shared" si="1"/>
        <v>3178.81</v>
      </c>
      <c r="L11" s="37">
        <f t="shared" si="2"/>
        <v>1</v>
      </c>
    </row>
    <row r="12" spans="1:12" x14ac:dyDescent="0.2">
      <c r="A12" s="59">
        <v>5</v>
      </c>
      <c r="B12" s="10" t="str">
        <f>ORCA!B54</f>
        <v>PAREDES E PAINÉIS</v>
      </c>
      <c r="C12" s="10">
        <f>ORCA!G60</f>
        <v>18502.309999999998</v>
      </c>
      <c r="D12" s="11">
        <f t="shared" si="0"/>
        <v>0.13502659874338768</v>
      </c>
      <c r="E12" s="23">
        <f>SUM($C$12*F12)</f>
        <v>11101.385999999999</v>
      </c>
      <c r="F12" s="29">
        <v>0.6</v>
      </c>
      <c r="G12" s="23">
        <f>SUM($C$12*H12)</f>
        <v>7400.9239999999991</v>
      </c>
      <c r="H12" s="29">
        <v>0.4</v>
      </c>
      <c r="I12" s="23">
        <f>SUM($C$12*J12)</f>
        <v>0</v>
      </c>
      <c r="J12" s="29"/>
      <c r="K12" s="36">
        <f t="shared" si="1"/>
        <v>18502.309999999998</v>
      </c>
      <c r="L12" s="37">
        <f t="shared" si="2"/>
        <v>1</v>
      </c>
    </row>
    <row r="13" spans="1:12" x14ac:dyDescent="0.2">
      <c r="A13" s="59">
        <v>6</v>
      </c>
      <c r="B13" s="10" t="str">
        <f>ORCA!B61</f>
        <v>COBERTURA E PROTEÇÕES</v>
      </c>
      <c r="C13" s="10">
        <f>ORCA!G73</f>
        <v>41410.44</v>
      </c>
      <c r="D13" s="11">
        <f t="shared" si="0"/>
        <v>0.30220609565330664</v>
      </c>
      <c r="E13" s="23">
        <f>SUM($C$13*F13)</f>
        <v>0</v>
      </c>
      <c r="F13" s="29"/>
      <c r="G13" s="23">
        <f>SUM($C$13*H13)</f>
        <v>28987.308000000001</v>
      </c>
      <c r="H13" s="29">
        <v>0.7</v>
      </c>
      <c r="I13" s="23">
        <f>SUM($C$13*J13)</f>
        <v>12423.132</v>
      </c>
      <c r="J13" s="29">
        <v>0.3</v>
      </c>
      <c r="K13" s="36">
        <f t="shared" si="1"/>
        <v>41410.44</v>
      </c>
      <c r="L13" s="37">
        <f t="shared" si="2"/>
        <v>1</v>
      </c>
    </row>
    <row r="14" spans="1:12" x14ac:dyDescent="0.2">
      <c r="A14" s="59">
        <v>7</v>
      </c>
      <c r="B14" s="10" t="str">
        <f>ORCA!B74</f>
        <v>ESQUADRIAS</v>
      </c>
      <c r="C14" s="10">
        <f>ORCA!G79</f>
        <v>10756.99</v>
      </c>
      <c r="D14" s="11">
        <f t="shared" si="0"/>
        <v>7.8502617911851758E-2</v>
      </c>
      <c r="E14" s="23">
        <f>SUM($C$14*F14)</f>
        <v>3227.0969999999998</v>
      </c>
      <c r="F14" s="29">
        <v>0.3</v>
      </c>
      <c r="G14" s="23">
        <f>SUM($C$14*H14)</f>
        <v>4302.7960000000003</v>
      </c>
      <c r="H14" s="29">
        <v>0.4</v>
      </c>
      <c r="I14" s="23">
        <f>SUM($C$14*J14)</f>
        <v>3227.0969999999998</v>
      </c>
      <c r="J14" s="29">
        <v>0.3</v>
      </c>
      <c r="K14" s="36">
        <f t="shared" si="1"/>
        <v>10756.99</v>
      </c>
      <c r="L14" s="37">
        <f t="shared" si="2"/>
        <v>1</v>
      </c>
    </row>
    <row r="15" spans="1:12" x14ac:dyDescent="0.2">
      <c r="A15" s="59">
        <v>8</v>
      </c>
      <c r="B15" s="10" t="str">
        <f>ORCA!B80</f>
        <v>DRENAGEM PLUVIAL</v>
      </c>
      <c r="C15" s="10">
        <f>ORCA!G84</f>
        <v>521.66</v>
      </c>
      <c r="D15" s="11">
        <f t="shared" si="0"/>
        <v>3.8069827767708798E-3</v>
      </c>
      <c r="E15" s="23">
        <f>SUM($C$15*F15)</f>
        <v>0</v>
      </c>
      <c r="F15" s="29"/>
      <c r="G15" s="23">
        <f>SUM($C$15*H15)</f>
        <v>521.66</v>
      </c>
      <c r="H15" s="29">
        <v>1</v>
      </c>
      <c r="I15" s="23">
        <f>SUM($C$15*J15)</f>
        <v>0</v>
      </c>
      <c r="J15" s="29"/>
      <c r="K15" s="36">
        <f t="shared" si="1"/>
        <v>521.66</v>
      </c>
      <c r="L15" s="37">
        <f t="shared" si="2"/>
        <v>1</v>
      </c>
    </row>
    <row r="16" spans="1:12" x14ac:dyDescent="0.2">
      <c r="A16" s="59">
        <v>9</v>
      </c>
      <c r="B16" s="10" t="str">
        <f>ORCA!B85</f>
        <v>INST.  ELÉTRICAS</v>
      </c>
      <c r="C16" s="10">
        <f>ORCA!G119</f>
        <v>6058.8600000000006</v>
      </c>
      <c r="D16" s="11">
        <f t="shared" si="0"/>
        <v>4.4216492862910739E-2</v>
      </c>
      <c r="E16" s="23">
        <f>SUM($C$16*F16)</f>
        <v>0</v>
      </c>
      <c r="F16" s="29"/>
      <c r="G16" s="23">
        <f>SUM($C$16*H16)</f>
        <v>4847.0880000000006</v>
      </c>
      <c r="H16" s="29">
        <v>0.8</v>
      </c>
      <c r="I16" s="23">
        <f>SUM($C$16*J16)</f>
        <v>1211.7720000000002</v>
      </c>
      <c r="J16" s="29">
        <v>0.2</v>
      </c>
      <c r="K16" s="36">
        <f t="shared" si="1"/>
        <v>6058.8600000000006</v>
      </c>
      <c r="L16" s="37">
        <f t="shared" si="2"/>
        <v>1</v>
      </c>
    </row>
    <row r="17" spans="1:13" x14ac:dyDescent="0.2">
      <c r="A17" s="59">
        <v>10</v>
      </c>
      <c r="B17" s="10" t="str">
        <f>ORCA!B120</f>
        <v>PREVENTIVO CONTRA INCÊNDIO</v>
      </c>
      <c r="C17" s="10">
        <f>ORCA!G128</f>
        <v>2161.37</v>
      </c>
      <c r="D17" s="11">
        <f t="shared" si="0"/>
        <v>1.5773297481557483E-2</v>
      </c>
      <c r="E17" s="23">
        <f>SUM($C$17*F17)</f>
        <v>0</v>
      </c>
      <c r="F17" s="29"/>
      <c r="G17" s="23">
        <f>SUM($C$17*H17)</f>
        <v>0</v>
      </c>
      <c r="H17" s="29"/>
      <c r="I17" s="23">
        <f>SUM($C$17*J17)</f>
        <v>2161.37</v>
      </c>
      <c r="J17" s="29">
        <v>1</v>
      </c>
      <c r="K17" s="36">
        <f t="shared" si="1"/>
        <v>2161.37</v>
      </c>
      <c r="L17" s="37">
        <f t="shared" si="2"/>
        <v>1</v>
      </c>
    </row>
    <row r="18" spans="1:13" x14ac:dyDescent="0.2">
      <c r="A18" s="59">
        <v>11</v>
      </c>
      <c r="B18" s="10" t="str">
        <f>ORCA!B129</f>
        <v>PINTURA</v>
      </c>
      <c r="C18" s="10">
        <f>ORCA!G134</f>
        <v>6110.7000000000007</v>
      </c>
      <c r="D18" s="11">
        <f t="shared" si="0"/>
        <v>4.4594812050020742E-2</v>
      </c>
      <c r="E18" s="23">
        <f>SUM($C$18*F18)</f>
        <v>0</v>
      </c>
      <c r="F18" s="29"/>
      <c r="G18" s="23">
        <f>SUM($C$18*H18)</f>
        <v>0</v>
      </c>
      <c r="H18" s="29"/>
      <c r="I18" s="23">
        <f>SUM($C$18*J18)</f>
        <v>6110.7000000000007</v>
      </c>
      <c r="J18" s="29">
        <v>1</v>
      </c>
      <c r="K18" s="36">
        <f t="shared" si="1"/>
        <v>6110.7000000000007</v>
      </c>
      <c r="L18" s="37">
        <f t="shared" si="2"/>
        <v>1</v>
      </c>
    </row>
    <row r="19" spans="1:13" x14ac:dyDescent="0.2">
      <c r="A19" s="59">
        <v>12</v>
      </c>
      <c r="B19" s="10" t="str">
        <f>ORCA!B135</f>
        <v>HIDRÁULICO</v>
      </c>
      <c r="C19" s="10">
        <f>ORCA!G147</f>
        <v>1544.74</v>
      </c>
      <c r="D19" s="11">
        <f t="shared" si="0"/>
        <v>1.1273240376086052E-2</v>
      </c>
      <c r="E19" s="23">
        <f>SUM($C$19*F19)</f>
        <v>617.89600000000007</v>
      </c>
      <c r="F19" s="29">
        <v>0.4</v>
      </c>
      <c r="G19" s="23">
        <f>SUM($C$19*H19)</f>
        <v>926.84399999999994</v>
      </c>
      <c r="H19" s="29">
        <v>0.6</v>
      </c>
      <c r="I19" s="23">
        <f>SUM($C$19*J19)</f>
        <v>0</v>
      </c>
      <c r="J19" s="29"/>
      <c r="K19" s="36">
        <f t="shared" si="1"/>
        <v>1544.74</v>
      </c>
      <c r="L19" s="37">
        <f t="shared" si="2"/>
        <v>1</v>
      </c>
    </row>
    <row r="20" spans="1:13" x14ac:dyDescent="0.2">
      <c r="A20" s="59">
        <v>13</v>
      </c>
      <c r="B20" s="10" t="str">
        <f>ORCA!B148</f>
        <v>SANITÁRIO</v>
      </c>
      <c r="C20" s="10">
        <f>ORCA!G161</f>
        <v>971.13</v>
      </c>
      <c r="D20" s="11">
        <f t="shared" si="0"/>
        <v>7.0871356515843746E-3</v>
      </c>
      <c r="E20" s="23">
        <f>SUM($C$20*F20)</f>
        <v>388.452</v>
      </c>
      <c r="F20" s="29">
        <v>0.4</v>
      </c>
      <c r="G20" s="23">
        <f>SUM($C$20*H20)</f>
        <v>582.678</v>
      </c>
      <c r="H20" s="29">
        <v>0.6</v>
      </c>
      <c r="I20" s="23">
        <f>SUM($C$20*J20)</f>
        <v>0</v>
      </c>
      <c r="J20" s="29"/>
      <c r="K20" s="36">
        <f t="shared" si="1"/>
        <v>971.13</v>
      </c>
      <c r="L20" s="37">
        <f t="shared" si="2"/>
        <v>1</v>
      </c>
    </row>
    <row r="21" spans="1:13" x14ac:dyDescent="0.2">
      <c r="A21" s="59">
        <v>14</v>
      </c>
      <c r="B21" s="10" t="str">
        <f>ORCA!B162</f>
        <v>SISTEMA DE GÁS</v>
      </c>
      <c r="C21" s="10">
        <f>ORCA!G197</f>
        <v>6896.8200000000015</v>
      </c>
      <c r="D21" s="11">
        <f t="shared" si="0"/>
        <v>5.0331777315663358E-2</v>
      </c>
      <c r="E21" s="23">
        <f>SUM($C$21*F21)</f>
        <v>0</v>
      </c>
      <c r="F21" s="29"/>
      <c r="G21" s="23">
        <f>SUM($C$21*H21)</f>
        <v>0</v>
      </c>
      <c r="H21" s="29"/>
      <c r="I21" s="23">
        <f>SUM($C$21*J21)</f>
        <v>6896.8200000000015</v>
      </c>
      <c r="J21" s="29">
        <v>1</v>
      </c>
      <c r="K21" s="36">
        <f t="shared" si="1"/>
        <v>6896.8200000000015</v>
      </c>
      <c r="L21" s="37">
        <f t="shared" si="2"/>
        <v>1</v>
      </c>
    </row>
    <row r="22" spans="1:13" x14ac:dyDescent="0.2">
      <c r="A22" s="211">
        <v>15</v>
      </c>
      <c r="B22" s="216" t="str">
        <f>ORCA!B198</f>
        <v>LIMPEZA FINAL E ENTREGA DA OBRA</v>
      </c>
      <c r="C22" s="212">
        <f>ORCA!G200</f>
        <v>416.06</v>
      </c>
      <c r="D22" s="11">
        <f t="shared" si="0"/>
        <v>3.0363325808060661E-3</v>
      </c>
      <c r="E22" s="215"/>
      <c r="F22" s="213"/>
      <c r="G22" s="215"/>
      <c r="H22" s="213"/>
      <c r="I22" s="23">
        <f>SUM($C$22*J22)</f>
        <v>416.06</v>
      </c>
      <c r="J22" s="213">
        <v>1</v>
      </c>
      <c r="K22" s="36">
        <f t="shared" si="1"/>
        <v>416.06</v>
      </c>
      <c r="L22" s="214">
        <f t="shared" si="2"/>
        <v>1</v>
      </c>
    </row>
    <row r="23" spans="1:13" s="5" customFormat="1" ht="14.25" x14ac:dyDescent="0.2">
      <c r="A23" s="60"/>
      <c r="B23" s="74" t="s">
        <v>30</v>
      </c>
      <c r="C23" s="101">
        <f>SUM(C8:C22)</f>
        <v>137027.15000000002</v>
      </c>
      <c r="D23" s="102">
        <f>SUM(D8:D22)</f>
        <v>0.99999999999999978</v>
      </c>
      <c r="E23" s="61"/>
      <c r="F23" s="62"/>
      <c r="G23" s="61"/>
      <c r="H23" s="62"/>
      <c r="I23" s="61"/>
      <c r="J23" s="62"/>
      <c r="K23" s="63"/>
      <c r="L23" s="62"/>
      <c r="M23" s="50"/>
    </row>
    <row r="24" spans="1:13" s="5" customFormat="1" x14ac:dyDescent="0.2">
      <c r="A24" s="6"/>
      <c r="B24" s="3" t="s">
        <v>28</v>
      </c>
      <c r="C24" s="53"/>
      <c r="D24" s="53"/>
      <c r="E24" s="27">
        <f>SUM(E8:E22)</f>
        <v>35626.801999999996</v>
      </c>
      <c r="F24" s="198">
        <f>SUM(E24*100%/$C$23)</f>
        <v>0.25999812445927678</v>
      </c>
      <c r="G24" s="27">
        <f>SUM(G8:G22)</f>
        <v>68953.397000000012</v>
      </c>
      <c r="H24" s="198">
        <f>SUM(G24*100%/$C$23)</f>
        <v>0.50320974347054581</v>
      </c>
      <c r="I24" s="27">
        <f>SUM(I8:I22)</f>
        <v>32446.951000000005</v>
      </c>
      <c r="J24" s="198">
        <f>SUM(I24*100%/$C$23)</f>
        <v>0.23679213207017732</v>
      </c>
      <c r="K24" s="137">
        <f>SUM(K8:K22)</f>
        <v>137027.15000000002</v>
      </c>
      <c r="L24" s="30">
        <f>SUM(K24*100%/$C$23)</f>
        <v>1</v>
      </c>
      <c r="M24" s="50"/>
    </row>
    <row r="25" spans="1:13" s="5" customFormat="1" x14ac:dyDescent="0.2">
      <c r="A25" s="6"/>
      <c r="B25" s="3" t="s">
        <v>29</v>
      </c>
      <c r="C25" s="2"/>
      <c r="D25" s="4"/>
      <c r="E25" s="51">
        <f>SUM(E24)</f>
        <v>35626.801999999996</v>
      </c>
      <c r="F25" s="198">
        <f>SUM(F24)</f>
        <v>0.25999812445927678</v>
      </c>
      <c r="G25" s="51">
        <f t="shared" ref="G25:J25" si="3">SUM(E25+G24)</f>
        <v>104580.19900000001</v>
      </c>
      <c r="H25" s="198">
        <f>SUM(F25+H24)</f>
        <v>0.76320786792982265</v>
      </c>
      <c r="I25" s="51">
        <f t="shared" si="3"/>
        <v>137027.15000000002</v>
      </c>
      <c r="J25" s="30">
        <f t="shared" si="3"/>
        <v>1</v>
      </c>
      <c r="K25" s="138"/>
      <c r="L25" s="52"/>
      <c r="M25" s="50"/>
    </row>
    <row r="26" spans="1:13" x14ac:dyDescent="0.2">
      <c r="D26" s="24"/>
      <c r="E26" s="14"/>
      <c r="F26" s="31"/>
      <c r="G26" s="14"/>
      <c r="H26" s="31"/>
      <c r="I26" s="22"/>
      <c r="J26" s="35"/>
      <c r="K26" s="38"/>
      <c r="L26" s="38"/>
    </row>
    <row r="27" spans="1:13" x14ac:dyDescent="0.2">
      <c r="D27" s="24"/>
      <c r="E27" s="21"/>
      <c r="F27" s="56"/>
      <c r="G27" s="21"/>
      <c r="H27" s="56"/>
      <c r="I27" s="25"/>
      <c r="J27" s="55"/>
      <c r="K27" s="38"/>
      <c r="L27" s="38"/>
    </row>
    <row r="28" spans="1:13" x14ac:dyDescent="0.2">
      <c r="D28" s="26"/>
      <c r="E28" s="14"/>
      <c r="F28" s="31"/>
      <c r="G28" s="14"/>
      <c r="H28" s="31"/>
      <c r="I28" s="14"/>
      <c r="J28" s="31"/>
      <c r="K28" s="38"/>
      <c r="L28" s="38"/>
    </row>
    <row r="29" spans="1:13" x14ac:dyDescent="0.2">
      <c r="D29" s="24"/>
      <c r="E29" s="21"/>
      <c r="F29" s="56"/>
      <c r="G29" s="21"/>
      <c r="H29" s="56"/>
      <c r="I29" s="21"/>
      <c r="J29" s="56"/>
      <c r="K29" s="38"/>
      <c r="L29" s="38"/>
    </row>
    <row r="30" spans="1:13" x14ac:dyDescent="0.2">
      <c r="D30" s="24"/>
      <c r="E30" s="14"/>
      <c r="F30" s="31"/>
      <c r="G30" s="14"/>
      <c r="H30" s="31"/>
      <c r="I30" s="14"/>
      <c r="J30" s="31"/>
      <c r="K30" s="38"/>
      <c r="L30" s="38"/>
    </row>
    <row r="31" spans="1:13" x14ac:dyDescent="0.2">
      <c r="D31" s="24"/>
      <c r="E31" s="21"/>
      <c r="F31" s="56"/>
      <c r="G31" s="21"/>
      <c r="H31" s="56"/>
      <c r="I31" s="21"/>
      <c r="J31" s="56"/>
      <c r="K31" s="38"/>
      <c r="L31" s="38"/>
    </row>
    <row r="32" spans="1:13" x14ac:dyDescent="0.2">
      <c r="D32" s="24"/>
      <c r="E32" s="14"/>
      <c r="F32" s="31"/>
      <c r="G32" s="14"/>
      <c r="H32" s="31"/>
      <c r="I32" s="14"/>
      <c r="J32" s="31"/>
      <c r="K32" s="38"/>
      <c r="L32" s="38"/>
    </row>
    <row r="33" spans="4:12" x14ac:dyDescent="0.2">
      <c r="D33" s="24"/>
      <c r="E33" s="21"/>
      <c r="F33" s="56"/>
      <c r="G33" s="21"/>
      <c r="H33" s="56"/>
      <c r="I33" s="21"/>
      <c r="J33" s="56"/>
      <c r="K33" s="38"/>
      <c r="L33" s="38"/>
    </row>
    <row r="34" spans="4:12" x14ac:dyDescent="0.2">
      <c r="D34" s="24"/>
      <c r="E34" s="15"/>
      <c r="F34" s="35"/>
      <c r="G34" s="15"/>
      <c r="H34" s="35"/>
      <c r="I34" s="15"/>
      <c r="J34" s="35"/>
      <c r="K34" s="38"/>
      <c r="L34" s="38"/>
    </row>
    <row r="35" spans="4:12" x14ac:dyDescent="0.2">
      <c r="D35" s="24"/>
      <c r="E35" s="14"/>
      <c r="F35" s="31"/>
      <c r="G35" s="14"/>
      <c r="H35" s="31"/>
      <c r="I35" s="14"/>
      <c r="J35" s="31"/>
      <c r="K35" s="38"/>
      <c r="L35" s="38"/>
    </row>
    <row r="36" spans="4:12" x14ac:dyDescent="0.2">
      <c r="D36" s="24"/>
      <c r="E36" s="16"/>
      <c r="F36" s="31"/>
      <c r="G36" s="16"/>
      <c r="H36" s="31"/>
      <c r="I36" s="16"/>
      <c r="J36" s="31"/>
      <c r="K36" s="38"/>
      <c r="L36" s="38"/>
    </row>
    <row r="37" spans="4:12" x14ac:dyDescent="0.2">
      <c r="D37" s="24"/>
      <c r="E37" s="14"/>
      <c r="F37" s="31"/>
      <c r="G37" s="14"/>
      <c r="H37" s="31"/>
      <c r="I37" s="14"/>
      <c r="J37" s="31"/>
      <c r="K37" s="38"/>
      <c r="L37" s="38"/>
    </row>
    <row r="38" spans="4:12" x14ac:dyDescent="0.2">
      <c r="D38" s="24"/>
      <c r="E38" s="15"/>
      <c r="F38" s="35"/>
      <c r="G38" s="15"/>
      <c r="H38" s="35"/>
      <c r="I38" s="15"/>
      <c r="J38" s="35"/>
      <c r="K38" s="38"/>
      <c r="L38" s="38"/>
    </row>
    <row r="39" spans="4:12" x14ac:dyDescent="0.2">
      <c r="D39" s="24"/>
      <c r="E39" s="14"/>
      <c r="F39" s="31"/>
      <c r="G39" s="14"/>
      <c r="H39" s="31"/>
      <c r="I39" s="14"/>
      <c r="J39" s="31"/>
      <c r="K39" s="38"/>
      <c r="L39" s="38"/>
    </row>
    <row r="40" spans="4:12" x14ac:dyDescent="0.2">
      <c r="D40" s="24"/>
      <c r="E40" s="24"/>
      <c r="F40" s="32"/>
      <c r="G40" s="24"/>
      <c r="H40" s="32"/>
      <c r="I40" s="17"/>
      <c r="J40" s="32"/>
      <c r="K40" s="38"/>
      <c r="L40" s="38"/>
    </row>
    <row r="41" spans="4:12" x14ac:dyDescent="0.2">
      <c r="D41" s="24"/>
      <c r="E41" s="24"/>
      <c r="F41" s="32"/>
      <c r="G41" s="24"/>
      <c r="H41" s="32"/>
      <c r="I41" s="17"/>
      <c r="J41" s="32"/>
      <c r="K41" s="38"/>
      <c r="L41" s="38"/>
    </row>
    <row r="42" spans="4:12" x14ac:dyDescent="0.2">
      <c r="D42" s="24"/>
      <c r="E42" s="24"/>
      <c r="F42" s="32"/>
      <c r="G42" s="24"/>
      <c r="H42" s="32"/>
      <c r="I42" s="17"/>
      <c r="J42" s="32"/>
      <c r="K42" s="17"/>
      <c r="L42" s="17"/>
    </row>
    <row r="43" spans="4:12" x14ac:dyDescent="0.2">
      <c r="D43" s="24"/>
      <c r="E43" s="24"/>
      <c r="F43" s="32"/>
      <c r="G43" s="24"/>
      <c r="H43" s="32"/>
      <c r="I43" s="17"/>
      <c r="J43" s="32"/>
      <c r="K43" s="17"/>
      <c r="L43" s="17"/>
    </row>
    <row r="44" spans="4:12" x14ac:dyDescent="0.2">
      <c r="D44" s="24"/>
      <c r="E44" s="24"/>
      <c r="F44" s="32"/>
      <c r="G44" s="24"/>
      <c r="H44" s="32"/>
      <c r="I44" s="17"/>
      <c r="J44" s="32"/>
      <c r="K44" s="17"/>
      <c r="L44" s="17"/>
    </row>
    <row r="45" spans="4:12" x14ac:dyDescent="0.2">
      <c r="D45" s="9"/>
      <c r="E45" s="9"/>
      <c r="G45" s="9"/>
    </row>
    <row r="46" spans="4:12" x14ac:dyDescent="0.2">
      <c r="D46" s="9"/>
      <c r="E46" s="9"/>
      <c r="G46" s="9"/>
    </row>
    <row r="47" spans="4:12" x14ac:dyDescent="0.2">
      <c r="D47" s="9"/>
      <c r="E47" s="9"/>
      <c r="G47" s="9"/>
    </row>
    <row r="48" spans="4:12" x14ac:dyDescent="0.2">
      <c r="D48" s="9"/>
      <c r="E48" s="9"/>
      <c r="G48" s="9"/>
    </row>
    <row r="49" spans="4:7" x14ac:dyDescent="0.2">
      <c r="D49" s="9"/>
      <c r="E49" s="9"/>
      <c r="G49" s="9"/>
    </row>
    <row r="50" spans="4:7" x14ac:dyDescent="0.2">
      <c r="D50" s="9"/>
      <c r="E50" s="9"/>
      <c r="G50" s="9"/>
    </row>
    <row r="51" spans="4:7" x14ac:dyDescent="0.2">
      <c r="D51" s="9"/>
      <c r="E51" s="9"/>
      <c r="G51" s="9"/>
    </row>
    <row r="52" spans="4:7" x14ac:dyDescent="0.2">
      <c r="D52" s="9"/>
      <c r="E52" s="9"/>
      <c r="G52" s="9"/>
    </row>
  </sheetData>
  <mergeCells count="7">
    <mergeCell ref="A3:L3"/>
    <mergeCell ref="E6:F6"/>
    <mergeCell ref="G6:H6"/>
    <mergeCell ref="I6:J6"/>
    <mergeCell ref="A6:A7"/>
    <mergeCell ref="B6:B7"/>
    <mergeCell ref="D6:D7"/>
  </mergeCells>
  <phoneticPr fontId="0" type="noConversion"/>
  <pageMargins left="0.62992125984251968" right="0" top="2.3228346456692912" bottom="0.51181102362204722" header="0.31496062992125984" footer="0.31496062992125984"/>
  <pageSetup paperSize="9" scale="9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ORCA</vt:lpstr>
      <vt:lpstr>CFF</vt:lpstr>
      <vt:lpstr>ORCA!Area_de_impressao</vt:lpstr>
      <vt:lpstr>ORCA!Titulos_de_impressao</vt:lpstr>
    </vt:vector>
  </TitlesOfParts>
  <Company>Prefeitura Municipal de Timbo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Rodrigo Becker</cp:lastModifiedBy>
  <cp:lastPrinted>2018-05-14T18:46:34Z</cp:lastPrinted>
  <dcterms:created xsi:type="dcterms:W3CDTF">2001-12-06T19:05:24Z</dcterms:created>
  <dcterms:modified xsi:type="dcterms:W3CDTF">2018-05-14T19:37:02Z</dcterms:modified>
</cp:coreProperties>
</file>